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915" activeTab="6"/>
  </bookViews>
  <sheets>
    <sheet name="Sheet2" sheetId="1" r:id="rId1"/>
    <sheet name="MG" sheetId="2" r:id="rId2"/>
    <sheet name="TH" sheetId="3" r:id="rId3"/>
    <sheet name="THCS" sheetId="4" r:id="rId4"/>
    <sheet name="THPT" sheetId="5" r:id="rId5"/>
    <sheet name="THPT GDTX" sheetId="6" r:id="rId6"/>
    <sheet name="Sheet1" sheetId="7" r:id="rId7"/>
  </sheets>
  <definedNames/>
  <calcPr fullCalcOnLoad="1"/>
</workbook>
</file>

<file path=xl/comments6.xml><?xml version="1.0" encoding="utf-8"?>
<comments xmlns="http://schemas.openxmlformats.org/spreadsheetml/2006/main">
  <authors>
    <author>Home</author>
  </authors>
  <commentList>
    <comment ref="G18" authorId="0">
      <text>
        <r>
          <rPr>
            <b/>
            <sz val="8"/>
            <rFont val="Tahoma"/>
            <family val="0"/>
          </rPr>
          <t>gồm cấp 3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sz val="8"/>
            <rFont val="Tahoma"/>
            <family val="0"/>
          </rPr>
          <t xml:space="preserve">K9 +K8
</t>
        </r>
      </text>
    </comment>
    <comment ref="C23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385 nữ, 63/59 dân tộc</t>
        </r>
      </text>
    </comment>
  </commentList>
</comments>
</file>

<file path=xl/sharedStrings.xml><?xml version="1.0" encoding="utf-8"?>
<sst xmlns="http://schemas.openxmlformats.org/spreadsheetml/2006/main" count="585" uniqueCount="275">
  <si>
    <t>TT</t>
  </si>
  <si>
    <t>Phòng GD&amp;ĐT</t>
  </si>
  <si>
    <t>Mẫu giáo</t>
  </si>
  <si>
    <t>Trong đó</t>
  </si>
  <si>
    <t>Tổng  số</t>
  </si>
  <si>
    <t>Công lập</t>
  </si>
  <si>
    <t>Ngoài công  lập</t>
  </si>
  <si>
    <t xml:space="preserve">Nhóm </t>
  </si>
  <si>
    <t>Cháu</t>
  </si>
  <si>
    <t>Cô</t>
  </si>
  <si>
    <t>P. học</t>
  </si>
  <si>
    <t>Tổng số</t>
  </si>
  <si>
    <t>Ninh Phước</t>
  </si>
  <si>
    <t>Thuận Nam</t>
  </si>
  <si>
    <t>Phan Rang-TC</t>
  </si>
  <si>
    <t>Ninh Sơn</t>
  </si>
  <si>
    <t>Bác Ái</t>
  </si>
  <si>
    <t>Thuận Bắc</t>
  </si>
  <si>
    <t>Ninh Hải</t>
  </si>
  <si>
    <t>Ngoài công lập</t>
  </si>
  <si>
    <t>Lớp</t>
  </si>
  <si>
    <r>
      <t xml:space="preserve">SỞ GIÁO DỤC VÀ ĐÀO TẠO
</t>
    </r>
    <r>
      <rPr>
        <b/>
        <sz val="14"/>
        <rFont val="Times New Roman"/>
        <family val="1"/>
      </rPr>
      <t>PHÒNG KẾ HOẠCH - TÀI CHÍNH</t>
    </r>
  </si>
  <si>
    <t>Mẫu giáo</t>
  </si>
  <si>
    <t>SỞ GIÁO DỤC - ĐÀO TẠO NINH THUẬN</t>
  </si>
  <si>
    <t>PHÒNG KẾ HOẠCH - TÀI CHÍNH</t>
  </si>
  <si>
    <t>Trong đó</t>
  </si>
  <si>
    <t>Giáo viên</t>
  </si>
  <si>
    <t>Tổng số CBCNV</t>
  </si>
  <si>
    <t>TỔNG SỐ</t>
  </si>
  <si>
    <t>Lớp 10</t>
  </si>
  <si>
    <t>Lớp 11</t>
  </si>
  <si>
    <t>Lớp 12</t>
  </si>
  <si>
    <t>Dân tộc ít người</t>
  </si>
  <si>
    <t>Nữ</t>
  </si>
  <si>
    <t>Tổng</t>
  </si>
  <si>
    <t>Học
 sinh</t>
  </si>
  <si>
    <t>Lớp</t>
  </si>
  <si>
    <t>Bác Ái</t>
  </si>
  <si>
    <t>Ninh Hải</t>
  </si>
  <si>
    <t>Thuận Bắc</t>
  </si>
  <si>
    <t>Ninh Phước</t>
  </si>
  <si>
    <t>PHÒNG GD&amp;ĐT</t>
  </si>
  <si>
    <t>Lớp 1</t>
  </si>
  <si>
    <t>Lớp 2</t>
  </si>
  <si>
    <t>Lớp 3</t>
  </si>
  <si>
    <t>Lớp 4</t>
  </si>
  <si>
    <t>Lớp 5</t>
  </si>
  <si>
    <t>Thuận Nam</t>
  </si>
  <si>
    <t>Tổng số
 CBCNV</t>
  </si>
  <si>
    <t>THỐNG KÊ TRƯỜNG, LỚP, HỌC SINH, GIÁO VIÊN THCS</t>
  </si>
  <si>
    <t>THỐNG KÊ TRƯỜNG, LỚP, HỌC SINH, GIÁO VIÊN TIỂU HỌC</t>
  </si>
  <si>
    <t>THỐNG KÊ TRƯỜNG, LỚP, HỌC SINH, GIÁO VIÊN THPT</t>
  </si>
  <si>
    <t>I</t>
  </si>
  <si>
    <t>II</t>
  </si>
  <si>
    <t>TRỰC THUỘC</t>
  </si>
  <si>
    <t>TỔNG SỐ (I+II)</t>
  </si>
  <si>
    <t>DTNT Pi Năng Tắc</t>
  </si>
  <si>
    <t>DTNT Thuận Bắc</t>
  </si>
  <si>
    <t>DTNT Ninh Sơn</t>
  </si>
  <si>
    <t>Lớp 6</t>
  </si>
  <si>
    <t>Lớp 7</t>
  </si>
  <si>
    <t>Lớp 8</t>
  </si>
  <si>
    <t>Lớp 9</t>
  </si>
  <si>
    <t>PHÒNG GD&amp;ĐT
(Trường trực thuộc)</t>
  </si>
  <si>
    <t>Mầm non</t>
  </si>
  <si>
    <t>Tổng cộng</t>
  </si>
  <si>
    <t>KT.GIÁM ĐỐC</t>
  </si>
  <si>
    <t>P.GIÁM ĐỐC</t>
  </si>
  <si>
    <t>Dân tộc
 ít người</t>
  </si>
  <si>
    <t>Nội dung</t>
  </si>
  <si>
    <t>Tỷ lệ
(%)</t>
  </si>
  <si>
    <t>1. Tổng số học sinh có mặt đầu năm học</t>
  </si>
  <si>
    <t>1.1/ Giáo dục mầm non</t>
  </si>
  <si>
    <t>+Nhà trẻ</t>
  </si>
  <si>
    <t>+Mẫu giáo</t>
  </si>
  <si>
    <t>1.2/ Giáo dục phổ thông</t>
  </si>
  <si>
    <t>+Tiểu học</t>
  </si>
  <si>
    <t>+Trung học cơ sở</t>
  </si>
  <si>
    <t xml:space="preserve">                 - DTNT Pi Năng Tắc</t>
  </si>
  <si>
    <t xml:space="preserve">                 - DTNT Thuận Bắc</t>
  </si>
  <si>
    <t>+Trung học phổ thông</t>
  </si>
  <si>
    <t>1.3/ GDTX</t>
  </si>
  <si>
    <r>
      <t>Trong đó:</t>
    </r>
    <r>
      <rPr>
        <sz val="12"/>
        <rFont val="Times New Roman"/>
        <family val="0"/>
      </rPr>
      <t xml:space="preserve">  - DTNT Ninh Sơn</t>
    </r>
  </si>
  <si>
    <r>
      <t>Trong đó:</t>
    </r>
    <r>
      <rPr>
        <sz val="12"/>
        <rFont val="Times New Roman"/>
        <family val="0"/>
      </rPr>
      <t xml:space="preserve"> DTNT Tỉnh</t>
    </r>
  </si>
  <si>
    <t>Lê Bá Phương</t>
  </si>
  <si>
    <t>Người lập</t>
  </si>
  <si>
    <t>Nguyễn Thái Quang</t>
  </si>
  <si>
    <t>CL</t>
  </si>
  <si>
    <t>PHÓ GIÁM ĐỐC</t>
  </si>
  <si>
    <t>Lê Bá Phương</t>
  </si>
  <si>
    <t xml:space="preserve">II. So sánh trường/ lớp </t>
  </si>
  <si>
    <t>Giáo dục mầm non</t>
  </si>
  <si>
    <t>Giáo dục phổ thông</t>
  </si>
  <si>
    <t>Tiểu học</t>
  </si>
  <si>
    <t>THCS</t>
  </si>
  <si>
    <t>THPT</t>
  </si>
  <si>
    <t>Năm học 2011-2012</t>
  </si>
  <si>
    <t>Tỷ lệ 
tăng/giảm</t>
  </si>
  <si>
    <t>Cấp học</t>
  </si>
  <si>
    <t>Trường</t>
  </si>
  <si>
    <t>HS</t>
  </si>
  <si>
    <t>Giáo dục thường xuyên</t>
  </si>
  <si>
    <t>GV</t>
  </si>
  <si>
    <t>GV/Lớp</t>
  </si>
  <si>
    <t>HS/Lớp</t>
  </si>
  <si>
    <t>Nhà trẻ</t>
  </si>
  <si>
    <t>L/Phòng</t>
  </si>
  <si>
    <t>Phòng</t>
  </si>
  <si>
    <t>Nữ GV</t>
  </si>
  <si>
    <t>TL Nữ
 GV</t>
  </si>
  <si>
    <t>BẢNG TỔNG HỢP 
TRƯỜNG, LỚP, HỌC SINH, GIÁO VIÊN, PHÒNG HỌC</t>
  </si>
  <si>
    <t>TÊN TRƯỜNG</t>
  </si>
  <si>
    <t>THPT An Phước</t>
  </si>
  <si>
    <t>THPT Bác Ái</t>
  </si>
  <si>
    <t>THPT Chu Văn An</t>
  </si>
  <si>
    <t>THPT DTNT Tỉnh</t>
  </si>
  <si>
    <t>THPT Lê Duẫn</t>
  </si>
  <si>
    <t>THPT Nguyễn Du</t>
  </si>
  <si>
    <t>THPT Nguyễn Huệ</t>
  </si>
  <si>
    <t>THPT Nguyễn Trãi</t>
  </si>
  <si>
    <t>THPT Nguyễn Văn Linh</t>
  </si>
  <si>
    <t>THPT Ninh Hải</t>
  </si>
  <si>
    <t>THPT Phạm Văn Đồng</t>
  </si>
  <si>
    <t>THPT Phan Bội Châu</t>
  </si>
  <si>
    <t>THPT Tháp Chàm</t>
  </si>
  <si>
    <t>THPT Tôn Đức Thắng</t>
  </si>
  <si>
    <t>THPT iSCHOOL</t>
  </si>
  <si>
    <t>THPT Trường Chinh</t>
  </si>
  <si>
    <t>THPT Phan Chu Trinh</t>
  </si>
  <si>
    <t>PHÒNG GD ĐT</t>
  </si>
  <si>
    <t>NCL</t>
  </si>
  <si>
    <t>DÂN TỘC BÁN TRÚ</t>
  </si>
  <si>
    <t>Dân tộc bán trú</t>
  </si>
  <si>
    <t>A</t>
  </si>
  <si>
    <t>B</t>
  </si>
  <si>
    <t>C</t>
  </si>
  <si>
    <t>x</t>
  </si>
  <si>
    <t>Cộng</t>
  </si>
  <si>
    <t>Tổng số
Tr chuẩn</t>
  </si>
  <si>
    <t xml:space="preserve">Tổng số 
trường chuẩn </t>
  </si>
  <si>
    <t>Tổng số
Tr chuẩn QG</t>
  </si>
  <si>
    <t>Tổng số 
Trg chuẩn QG</t>
  </si>
  <si>
    <t>PT DTNT Pi Năng Tắc</t>
  </si>
  <si>
    <t xml:space="preserve"> NĂM HỌC 2012-2013</t>
  </si>
  <si>
    <t>Năm học 2012-2013</t>
  </si>
  <si>
    <r>
      <t>THỐNG KÊ TRƯỜNG, LỚP, HỌC SINH, GIÁO VIÊN MẦM NON
ĐẦU NĂM HỌC 2012-2013</t>
    </r>
    <r>
      <rPr>
        <sz val="14"/>
        <rFont val="Times New Roman"/>
        <family val="0"/>
      </rPr>
      <t xml:space="preserve">
</t>
    </r>
    <r>
      <rPr>
        <i/>
        <sz val="14"/>
        <rFont val="Times New Roman"/>
        <family val="1"/>
      </rPr>
      <t>Thời điểm: Tháng 10-2012</t>
    </r>
  </si>
  <si>
    <r>
      <t>Thời điểm: đầu năm 2012-2013 (</t>
    </r>
    <r>
      <rPr>
        <i/>
        <sz val="12"/>
        <rFont val="Times New Roman"/>
        <family val="1"/>
      </rPr>
      <t>Tháng 10/2012</t>
    </r>
    <r>
      <rPr>
        <sz val="12"/>
        <rFont val="Times New Roman"/>
        <family val="1"/>
      </rPr>
      <t>)</t>
    </r>
  </si>
  <si>
    <t>Ninh Thuận, ngày   17   tháng  10   năm 2012</t>
  </si>
  <si>
    <t>Ninh Thuận, ngày 17  tháng  10   năm 2012</t>
  </si>
  <si>
    <t>Nhô</t>
  </si>
  <si>
    <t>I. Thực hiện chỉ tiêu kế hoạch năm 2012</t>
  </si>
  <si>
    <t>Kế hoạch
2012</t>
  </si>
  <si>
    <t>Thực hiện
2012</t>
  </si>
  <si>
    <t>Có</t>
  </si>
  <si>
    <t>QĐ</t>
  </si>
  <si>
    <t>A. Công lập</t>
  </si>
  <si>
    <t>B. Tư thục</t>
  </si>
  <si>
    <t>Nữ</t>
  </si>
  <si>
    <t>Tổng</t>
  </si>
  <si>
    <t>Dân tộc ít người</t>
  </si>
  <si>
    <t>CBQL</t>
  </si>
  <si>
    <t>Cơ sở vật chất</t>
  </si>
  <si>
    <t>Nhà
đa năng</t>
  </si>
  <si>
    <t>Pg
bộ môn</t>
  </si>
  <si>
    <t>Pg
học</t>
  </si>
  <si>
    <t>Thư
Viện</t>
  </si>
  <si>
    <t>TỔNG CỘNG (A+B)</t>
  </si>
  <si>
    <t>Số trường</t>
  </si>
  <si>
    <t>Nguyễn Văn Trỗi (BA)</t>
  </si>
  <si>
    <t>Nguyễn Văn Linh (BA)</t>
  </si>
  <si>
    <t>Ngô Quyền (BA)</t>
  </si>
  <si>
    <t>Đinh Bộ Lĩnh (BA)</t>
  </si>
  <si>
    <t>Nguyễn Huệ (BA)</t>
  </si>
  <si>
    <t>Võ Thị Sáu (BA)</t>
  </si>
  <si>
    <t>Trần Phú (BA)</t>
  </si>
  <si>
    <t>Phước Hà (TN)</t>
  </si>
  <si>
    <t>Phan Đình Phùng (NS)</t>
  </si>
  <si>
    <t>Phước Kháng (TB)</t>
  </si>
  <si>
    <t>Hà Huy Tập (TB)</t>
  </si>
  <si>
    <t>Phước Chiến (TB)</t>
  </si>
  <si>
    <t>HS
Nữ</t>
  </si>
  <si>
    <t>P.Tiến A (BA)</t>
  </si>
  <si>
    <t>P.Kháng (TB)</t>
  </si>
  <si>
    <t>P.Thành B (BA)</t>
  </si>
  <si>
    <t>D</t>
  </si>
  <si>
    <t>Nhu cầu CSVC (KCHTLH)</t>
  </si>
  <si>
    <t>Đạt chuẩn</t>
  </si>
  <si>
    <t>Trên chuẩn</t>
  </si>
  <si>
    <t>Nhu cầu CSVC (KCH)</t>
  </si>
  <si>
    <t>TT GDTX</t>
  </si>
  <si>
    <t>TT KTTHHN Phan Rang</t>
  </si>
  <si>
    <t>TT KTTHHN Ninh Sơn</t>
  </si>
  <si>
    <t>TT KTTHHN Ninh Phước</t>
  </si>
  <si>
    <t>Công tác HN - DN</t>
  </si>
  <si>
    <t>SL</t>
  </si>
  <si>
    <t>TL</t>
  </si>
  <si>
    <t>Chưa chuẩn</t>
  </si>
  <si>
    <t>2b/ngày</t>
  </si>
  <si>
    <t>THPT Chuyên Lê Quý Đôn</t>
  </si>
  <si>
    <t>GV
T.chuẩn</t>
  </si>
  <si>
    <t>Học 
2b/ngày</t>
  </si>
  <si>
    <t>C.Ch</t>
  </si>
  <si>
    <t>5 tuổi</t>
  </si>
  <si>
    <t>Một số chỉ tiêu cần chú ý</t>
  </si>
  <si>
    <t>III. Các chỉ số của năm học 2012-2013</t>
  </si>
  <si>
    <t>Học 2 buổi/ngày; T.Anh</t>
  </si>
  <si>
    <t>2b/n</t>
  </si>
  <si>
    <t>T.Anh</t>
  </si>
  <si>
    <t>Tỉ lệ %</t>
  </si>
  <si>
    <t>Học 2 buổi/ngày
Học trên 5 buổi</t>
  </si>
  <si>
    <t>Trên 5b</t>
  </si>
  <si>
    <t>TL
2b</t>
  </si>
  <si>
    <t>TL
tr 5</t>
  </si>
  <si>
    <t>Học tiếng Anh
Học tiếng DT</t>
  </si>
  <si>
    <t>Tiếng
Dân tộc</t>
  </si>
  <si>
    <t>Tiếng
Anh</t>
  </si>
  <si>
    <t>Tg
DT</t>
  </si>
  <si>
    <t>Tg
Anh</t>
  </si>
  <si>
    <t>Giáo viên</t>
  </si>
  <si>
    <t>Huy động học sinh</t>
  </si>
  <si>
    <t>Nhu cầu
Cơ sở vật chất</t>
  </si>
  <si>
    <t>Mầm non</t>
  </si>
  <si>
    <t>nhóm</t>
  </si>
  <si>
    <t>Cấp 2</t>
  </si>
  <si>
    <t>Cấp 3</t>
  </si>
  <si>
    <t>2b</t>
  </si>
  <si>
    <t>HN</t>
  </si>
  <si>
    <t>DN</t>
  </si>
  <si>
    <t xml:space="preserve">C </t>
  </si>
  <si>
    <t>Cao đẳng Sư phạm</t>
  </si>
  <si>
    <t>Đại học Nông lâm</t>
  </si>
  <si>
    <t>THỐNG KÊ TRƯỜNG, LỚP, HỌC SINH, GIÁO VIÊN THPT GDTX, CĐ, ĐH</t>
  </si>
  <si>
    <t>Quản lý đất đai</t>
  </si>
  <si>
    <t>Nông học</t>
  </si>
  <si>
    <t>Công nghệ thông tin</t>
  </si>
  <si>
    <t>Kinh tế TNMT</t>
  </si>
  <si>
    <t>Kinh tế Nông lâm</t>
  </si>
  <si>
    <t>Quản lý MT và DLST</t>
  </si>
  <si>
    <t>Tên lớp học</t>
  </si>
  <si>
    <t>SL HS</t>
  </si>
  <si>
    <t>CĐCQ</t>
  </si>
  <si>
    <t>Nâng chuẩn</t>
  </si>
  <si>
    <t>BDCBQL</t>
  </si>
  <si>
    <t>ĐH tại chức</t>
  </si>
  <si>
    <t>T.C</t>
  </si>
  <si>
    <t>Đ.C</t>
  </si>
  <si>
    <t>Học sinh</t>
  </si>
  <si>
    <t>CBCNV</t>
  </si>
  <si>
    <t>Nội dung</t>
  </si>
  <si>
    <t>Ký 
túc
xá</t>
  </si>
  <si>
    <t>Pg
thí 
ngh</t>
  </si>
  <si>
    <t>Chú ý</t>
  </si>
  <si>
    <t xml:space="preserve">D </t>
  </si>
  <si>
    <t>E</t>
  </si>
  <si>
    <t xml:space="preserve">  DTNT Pi Năng Tắc</t>
  </si>
  <si>
    <t>Trường Trung cấp Việt Thuận (28/9) tuyển sinh được 70 HV</t>
  </si>
  <si>
    <t>Dân tộc 
ít người</t>
  </si>
  <si>
    <t>Pg
bộ
môn</t>
  </si>
  <si>
    <r>
      <t>Thời điểm: đầu năm 2012-2013 (</t>
    </r>
    <r>
      <rPr>
        <i/>
        <sz val="12"/>
        <color indexed="8"/>
        <rFont val="Times New Roman"/>
        <family val="1"/>
      </rPr>
      <t>Tháng 10/2012</t>
    </r>
    <r>
      <rPr>
        <sz val="12"/>
        <color indexed="8"/>
        <rFont val="Times New Roman"/>
        <family val="1"/>
      </rPr>
      <t>)</t>
    </r>
  </si>
  <si>
    <t>Ninh Thuận, ngày       tháng  10   năm 2012</t>
  </si>
  <si>
    <t>Ninh Thuận, ngày   9  tháng  10   năm 2012</t>
  </si>
  <si>
    <t>SV</t>
  </si>
  <si>
    <t>GDMN 35</t>
  </si>
  <si>
    <t>GDTH 35</t>
  </si>
  <si>
    <t>Anh 35 (NSP)</t>
  </si>
  <si>
    <t>Tin 35 (NSP)</t>
  </si>
  <si>
    <t>GDMN 34</t>
  </si>
  <si>
    <t>Anh 34 (NSP)</t>
  </si>
  <si>
    <t>Tin 34 (NSP)</t>
  </si>
  <si>
    <t>GDMN 36</t>
  </si>
  <si>
    <t>GDTH 36</t>
  </si>
  <si>
    <t>Anh 36 (NSP)</t>
  </si>
  <si>
    <t>Tin 36 (NSP)</t>
  </si>
  <si>
    <t>DT</t>
  </si>
  <si>
    <t>63/59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</si>
</sst>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[$-40C]dddd\ d\ mmmm\ yyyy"/>
    <numFmt numFmtId="184" formatCode="_(* #,##0.0_);_(* \(#,##0.0\);_(* &quot;-&quot;_);_(@_)"/>
    <numFmt numFmtId="185" formatCode="_(* #,##0.00_);_(* \(#,##0.00\);_(* &quot;-&quot;_);_(@_)"/>
    <numFmt numFmtId="186" formatCode="#,##0\ _$"/>
  </numFmts>
  <fonts count="44">
    <font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Accounting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0"/>
    </font>
    <font>
      <sz val="8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gray0625"/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181" fontId="13" fillId="0" borderId="1" xfId="15" applyNumberFormat="1" applyFont="1" applyBorder="1" applyAlignment="1">
      <alignment vertical="center" wrapText="1"/>
    </xf>
    <xf numFmtId="181" fontId="3" fillId="0" borderId="1" xfId="15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/>
    </xf>
    <xf numFmtId="9" fontId="8" fillId="0" borderId="1" xfId="21" applyFont="1" applyBorder="1" applyAlignment="1">
      <alignment horizontal="center"/>
    </xf>
    <xf numFmtId="0" fontId="12" fillId="0" borderId="1" xfId="0" applyFont="1" applyBorder="1" applyAlignment="1" quotePrefix="1">
      <alignment/>
    </xf>
    <xf numFmtId="181" fontId="12" fillId="0" borderId="1" xfId="15" applyNumberFormat="1" applyFont="1" applyBorder="1" applyAlignment="1">
      <alignment/>
    </xf>
    <xf numFmtId="0" fontId="8" fillId="0" borderId="1" xfId="0" applyFont="1" applyBorder="1" applyAlignment="1">
      <alignment/>
    </xf>
    <xf numFmtId="181" fontId="17" fillId="0" borderId="1" xfId="15" applyNumberFormat="1" applyFont="1" applyBorder="1" applyAlignment="1">
      <alignment/>
    </xf>
    <xf numFmtId="181" fontId="11" fillId="0" borderId="1" xfId="0" applyNumberFormat="1" applyFont="1" applyBorder="1" applyAlignment="1">
      <alignment/>
    </xf>
    <xf numFmtId="181" fontId="17" fillId="0" borderId="1" xfId="15" applyNumberFormat="1" applyFont="1" applyFill="1" applyBorder="1" applyAlignment="1">
      <alignment/>
    </xf>
    <xf numFmtId="1" fontId="13" fillId="0" borderId="1" xfId="15" applyNumberFormat="1" applyFont="1" applyBorder="1" applyAlignment="1">
      <alignment vertical="center" wrapText="1"/>
    </xf>
    <xf numFmtId="182" fontId="8" fillId="0" borderId="1" xfId="21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Border="1" applyAlignment="1">
      <alignment/>
    </xf>
    <xf numFmtId="181" fontId="17" fillId="0" borderId="0" xfId="15" applyNumberFormat="1" applyFont="1" applyFill="1" applyBorder="1" applyAlignment="1">
      <alignment/>
    </xf>
    <xf numFmtId="181" fontId="17" fillId="0" borderId="0" xfId="15" applyNumberFormat="1" applyFont="1" applyBorder="1" applyAlignment="1">
      <alignment/>
    </xf>
    <xf numFmtId="9" fontId="8" fillId="0" borderId="0" xfId="2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indent="2"/>
    </xf>
    <xf numFmtId="181" fontId="11" fillId="0" borderId="1" xfId="15" applyNumberFormat="1" applyFont="1" applyFill="1" applyBorder="1" applyAlignment="1">
      <alignment horizontal="center" vertical="center"/>
    </xf>
    <xf numFmtId="181" fontId="11" fillId="0" borderId="1" xfId="15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181" fontId="11" fillId="0" borderId="1" xfId="15" applyNumberFormat="1" applyFont="1" applyFill="1" applyBorder="1" applyAlignment="1">
      <alignment/>
    </xf>
    <xf numFmtId="181" fontId="11" fillId="0" borderId="1" xfId="15" applyNumberFormat="1" applyFont="1" applyBorder="1" applyAlignment="1">
      <alignment/>
    </xf>
    <xf numFmtId="181" fontId="12" fillId="0" borderId="1" xfId="15" applyNumberFormat="1" applyFont="1" applyFill="1" applyBorder="1" applyAlignment="1">
      <alignment/>
    </xf>
    <xf numFmtId="181" fontId="12" fillId="0" borderId="1" xfId="15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181" fontId="12" fillId="0" borderId="1" xfId="15" applyNumberFormat="1" applyFont="1" applyFill="1" applyBorder="1" applyAlignment="1">
      <alignment horizontal="center" vertical="center"/>
    </xf>
    <xf numFmtId="181" fontId="12" fillId="0" borderId="3" xfId="15" applyNumberFormat="1" applyFont="1" applyFill="1" applyBorder="1" applyAlignment="1">
      <alignment horizontal="center" vertical="center"/>
    </xf>
    <xf numFmtId="9" fontId="12" fillId="0" borderId="1" xfId="2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41" fontId="11" fillId="0" borderId="1" xfId="16" applyFont="1" applyBorder="1" applyAlignment="1">
      <alignment horizontal="center"/>
    </xf>
    <xf numFmtId="41" fontId="11" fillId="0" borderId="1" xfId="16" applyFont="1" applyFill="1" applyBorder="1" applyAlignment="1">
      <alignment horizontal="center"/>
    </xf>
    <xf numFmtId="41" fontId="12" fillId="0" borderId="1" xfId="16" applyFont="1" applyBorder="1" applyAlignment="1">
      <alignment/>
    </xf>
    <xf numFmtId="41" fontId="11" fillId="0" borderId="1" xfId="16" applyFont="1" applyBorder="1" applyAlignment="1">
      <alignment/>
    </xf>
    <xf numFmtId="181" fontId="12" fillId="0" borderId="1" xfId="15" applyNumberFormat="1" applyFont="1" applyBorder="1" applyAlignment="1">
      <alignment/>
    </xf>
    <xf numFmtId="181" fontId="12" fillId="0" borderId="1" xfId="21" applyNumberFormat="1" applyFont="1" applyBorder="1" applyAlignment="1">
      <alignment/>
    </xf>
    <xf numFmtId="41" fontId="12" fillId="0" borderId="1" xfId="16" applyFont="1" applyBorder="1" applyAlignment="1">
      <alignment/>
    </xf>
    <xf numFmtId="0" fontId="11" fillId="0" borderId="1" xfId="0" applyFont="1" applyBorder="1" applyAlignment="1">
      <alignment/>
    </xf>
    <xf numFmtId="181" fontId="11" fillId="0" borderId="1" xfId="21" applyNumberFormat="1" applyFont="1" applyBorder="1" applyAlignment="1">
      <alignment/>
    </xf>
    <xf numFmtId="184" fontId="12" fillId="0" borderId="1" xfId="16" applyNumberFormat="1" applyFont="1" applyFill="1" applyBorder="1" applyAlignment="1">
      <alignment/>
    </xf>
    <xf numFmtId="185" fontId="12" fillId="0" borderId="1" xfId="16" applyNumberFormat="1" applyFont="1" applyBorder="1" applyAlignment="1">
      <alignment/>
    </xf>
    <xf numFmtId="41" fontId="11" fillId="0" borderId="1" xfId="16" applyFont="1" applyBorder="1" applyAlignment="1">
      <alignment/>
    </xf>
    <xf numFmtId="185" fontId="11" fillId="0" borderId="1" xfId="16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41" fontId="12" fillId="0" borderId="1" xfId="16" applyFont="1" applyFill="1" applyBorder="1" applyAlignment="1">
      <alignment/>
    </xf>
    <xf numFmtId="41" fontId="12" fillId="0" borderId="1" xfId="16" applyNumberFormat="1" applyFont="1" applyFill="1" applyBorder="1" applyAlignment="1">
      <alignment/>
    </xf>
    <xf numFmtId="43" fontId="12" fillId="0" borderId="1" xfId="15" applyNumberFormat="1" applyFont="1" applyFill="1" applyBorder="1" applyAlignment="1">
      <alignment/>
    </xf>
    <xf numFmtId="9" fontId="12" fillId="0" borderId="1" xfId="21" applyFont="1" applyBorder="1" applyAlignment="1">
      <alignment/>
    </xf>
    <xf numFmtId="43" fontId="11" fillId="0" borderId="1" xfId="15" applyNumberFormat="1" applyFont="1" applyFill="1" applyBorder="1" applyAlignment="1">
      <alignment/>
    </xf>
    <xf numFmtId="184" fontId="11" fillId="0" borderId="1" xfId="16" applyNumberFormat="1" applyFont="1" applyFill="1" applyBorder="1" applyAlignment="1">
      <alignment/>
    </xf>
    <xf numFmtId="9" fontId="11" fillId="0" borderId="1" xfId="21" applyFont="1" applyBorder="1" applyAlignment="1">
      <alignment/>
    </xf>
    <xf numFmtId="185" fontId="11" fillId="0" borderId="1" xfId="16" applyNumberFormat="1" applyFont="1" applyFill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1" fontId="1" fillId="0" borderId="1" xfId="16" applyFont="1" applyBorder="1" applyAlignment="1">
      <alignment/>
    </xf>
    <xf numFmtId="41" fontId="18" fillId="0" borderId="1" xfId="16" applyFont="1" applyBorder="1" applyAlignment="1">
      <alignment/>
    </xf>
    <xf numFmtId="41" fontId="3" fillId="0" borderId="1" xfId="16" applyFont="1" applyBorder="1" applyAlignment="1">
      <alignment/>
    </xf>
    <xf numFmtId="0" fontId="1" fillId="0" borderId="4" xfId="0" applyFont="1" applyBorder="1" applyAlignment="1">
      <alignment/>
    </xf>
    <xf numFmtId="41" fontId="17" fillId="0" borderId="1" xfId="16" applyFont="1" applyFill="1" applyBorder="1" applyAlignment="1">
      <alignment horizontal="center"/>
    </xf>
    <xf numFmtId="41" fontId="17" fillId="0" borderId="1" xfId="16" applyFont="1" applyBorder="1" applyAlignment="1">
      <alignment horizontal="center"/>
    </xf>
    <xf numFmtId="181" fontId="21" fillId="0" borderId="1" xfId="15" applyNumberFormat="1" applyFont="1" applyFill="1" applyBorder="1" applyAlignment="1">
      <alignment/>
    </xf>
    <xf numFmtId="181" fontId="21" fillId="0" borderId="1" xfId="15" applyNumberFormat="1" applyFont="1" applyBorder="1" applyAlignment="1">
      <alignment/>
    </xf>
    <xf numFmtId="41" fontId="12" fillId="0" borderId="1" xfId="16" applyFont="1" applyFill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1" fontId="10" fillId="0" borderId="1" xfId="15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1" fontId="1" fillId="0" borderId="5" xfId="16" applyFont="1" applyBorder="1" applyAlignment="1">
      <alignment/>
    </xf>
    <xf numFmtId="1" fontId="3" fillId="0" borderId="1" xfId="15" applyNumberFormat="1" applyFont="1" applyBorder="1" applyAlignment="1">
      <alignment vertical="center" wrapText="1"/>
    </xf>
    <xf numFmtId="182" fontId="2" fillId="0" borderId="1" xfId="21" applyNumberFormat="1" applyFont="1" applyBorder="1" applyAlignment="1">
      <alignment/>
    </xf>
    <xf numFmtId="182" fontId="22" fillId="0" borderId="1" xfId="21" applyNumberFormat="1" applyFont="1" applyBorder="1" applyAlignment="1">
      <alignment/>
    </xf>
    <xf numFmtId="0" fontId="1" fillId="0" borderId="6" xfId="0" applyFont="1" applyBorder="1" applyAlignment="1">
      <alignment/>
    </xf>
    <xf numFmtId="41" fontId="1" fillId="0" borderId="6" xfId="16" applyFont="1" applyBorder="1" applyAlignment="1">
      <alignment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82" fontId="4" fillId="0" borderId="1" xfId="21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5" xfId="0" applyFont="1" applyBorder="1" applyAlignment="1">
      <alignment/>
    </xf>
    <xf numFmtId="182" fontId="25" fillId="0" borderId="12" xfId="21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2" fontId="25" fillId="0" borderId="19" xfId="21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1" fontId="24" fillId="0" borderId="1" xfId="16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1" fontId="24" fillId="0" borderId="23" xfId="16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182" fontId="3" fillId="0" borderId="19" xfId="21" applyNumberFormat="1" applyFont="1" applyBorder="1" applyAlignment="1">
      <alignment/>
    </xf>
    <xf numFmtId="41" fontId="3" fillId="0" borderId="26" xfId="16" applyFont="1" applyBorder="1" applyAlignment="1">
      <alignment vertical="center"/>
    </xf>
    <xf numFmtId="41" fontId="1" fillId="0" borderId="26" xfId="16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41" fontId="3" fillId="0" borderId="3" xfId="16" applyFont="1" applyFill="1" applyBorder="1" applyAlignment="1">
      <alignment horizontal="center" vertical="center" wrapText="1"/>
    </xf>
    <xf numFmtId="1" fontId="3" fillId="0" borderId="3" xfId="16" applyNumberFormat="1" applyFont="1" applyFill="1" applyBorder="1" applyAlignment="1">
      <alignment horizontal="center" vertical="center" wrapText="1"/>
    </xf>
    <xf numFmtId="182" fontId="1" fillId="0" borderId="1" xfId="21" applyNumberFormat="1" applyFont="1" applyFill="1" applyBorder="1" applyAlignment="1">
      <alignment/>
    </xf>
    <xf numFmtId="182" fontId="26" fillId="0" borderId="1" xfId="21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41" fontId="1" fillId="0" borderId="1" xfId="16" applyFont="1" applyBorder="1" applyAlignment="1">
      <alignment horizontal="right"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82" fontId="1" fillId="0" borderId="1" xfId="21" applyNumberFormat="1" applyFont="1" applyBorder="1" applyAlignment="1">
      <alignment horizontal="right" vertical="center"/>
    </xf>
    <xf numFmtId="182" fontId="1" fillId="0" borderId="1" xfId="21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182" fontId="1" fillId="0" borderId="8" xfId="21" applyNumberFormat="1" applyFont="1" applyBorder="1" applyAlignment="1">
      <alignment horizontal="left" vertical="center"/>
    </xf>
    <xf numFmtId="182" fontId="1" fillId="0" borderId="8" xfId="21" applyNumberFormat="1" applyFont="1" applyBorder="1" applyAlignment="1">
      <alignment horizontal="right" vertical="center"/>
    </xf>
    <xf numFmtId="9" fontId="1" fillId="0" borderId="1" xfId="21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indent="4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182" fontId="29" fillId="0" borderId="1" xfId="21" applyNumberFormat="1" applyFont="1" applyBorder="1" applyAlignment="1">
      <alignment/>
    </xf>
    <xf numFmtId="41" fontId="18" fillId="0" borderId="26" xfId="16" applyFont="1" applyBorder="1" applyAlignment="1">
      <alignment/>
    </xf>
    <xf numFmtId="0" fontId="18" fillId="0" borderId="0" xfId="0" applyFont="1" applyBorder="1" applyAlignment="1">
      <alignment/>
    </xf>
    <xf numFmtId="182" fontId="1" fillId="0" borderId="1" xfId="21" applyNumberFormat="1" applyFont="1" applyBorder="1" applyAlignment="1">
      <alignment/>
    </xf>
    <xf numFmtId="9" fontId="1" fillId="0" borderId="1" xfId="21" applyNumberFormat="1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1" fontId="24" fillId="0" borderId="8" xfId="16" applyFont="1" applyBorder="1" applyAlignment="1">
      <alignment horizontal="right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81" fontId="36" fillId="0" borderId="1" xfId="15" applyNumberFormat="1" applyFont="1" applyBorder="1" applyAlignment="1">
      <alignment vertical="center" wrapText="1"/>
    </xf>
    <xf numFmtId="181" fontId="38" fillId="0" borderId="1" xfId="15" applyNumberFormat="1" applyFont="1" applyBorder="1" applyAlignment="1">
      <alignment vertical="center" wrapText="1"/>
    </xf>
    <xf numFmtId="181" fontId="39" fillId="0" borderId="1" xfId="15" applyNumberFormat="1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/>
    </xf>
    <xf numFmtId="0" fontId="18" fillId="2" borderId="1" xfId="0" applyFont="1" applyFill="1" applyBorder="1" applyAlignment="1">
      <alignment horizontal="center" vertical="center"/>
    </xf>
    <xf numFmtId="41" fontId="18" fillId="2" borderId="1" xfId="16" applyFont="1" applyFill="1" applyBorder="1" applyAlignment="1">
      <alignment vertical="center" wrapText="1"/>
    </xf>
    <xf numFmtId="1" fontId="18" fillId="0" borderId="1" xfId="16" applyNumberFormat="1" applyFont="1" applyBorder="1" applyAlignment="1">
      <alignment horizontal="center"/>
    </xf>
    <xf numFmtId="41" fontId="18" fillId="0" borderId="1" xfId="16" applyFont="1" applyBorder="1" applyAlignment="1">
      <alignment vertical="center" wrapText="1"/>
    </xf>
    <xf numFmtId="1" fontId="18" fillId="2" borderId="1" xfId="16" applyNumberFormat="1" applyFont="1" applyFill="1" applyBorder="1" applyAlignment="1">
      <alignment horizontal="center"/>
    </xf>
    <xf numFmtId="41" fontId="18" fillId="2" borderId="1" xfId="16" applyFont="1" applyFill="1" applyBorder="1" applyAlignment="1">
      <alignment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/>
    </xf>
    <xf numFmtId="1" fontId="36" fillId="0" borderId="1" xfId="16" applyNumberFormat="1" applyFont="1" applyBorder="1" applyAlignment="1">
      <alignment horizontal="center"/>
    </xf>
    <xf numFmtId="41" fontId="40" fillId="0" borderId="1" xfId="16" applyFont="1" applyBorder="1" applyAlignment="1">
      <alignment/>
    </xf>
    <xf numFmtId="41" fontId="36" fillId="0" borderId="1" xfId="16" applyFont="1" applyBorder="1" applyAlignment="1">
      <alignment/>
    </xf>
    <xf numFmtId="0" fontId="36" fillId="0" borderId="0" xfId="0" applyFont="1" applyAlignment="1">
      <alignment/>
    </xf>
    <xf numFmtId="0" fontId="18" fillId="0" borderId="13" xfId="0" applyFont="1" applyBorder="1" applyAlignment="1">
      <alignment/>
    </xf>
    <xf numFmtId="41" fontId="18" fillId="0" borderId="13" xfId="16" applyFont="1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12" xfId="0" applyFont="1" applyBorder="1" applyAlignment="1">
      <alignment/>
    </xf>
    <xf numFmtId="41" fontId="36" fillId="0" borderId="12" xfId="16" applyFont="1" applyBorder="1" applyAlignment="1">
      <alignment horizontal="center" vertical="center" wrapText="1"/>
    </xf>
    <xf numFmtId="41" fontId="36" fillId="2" borderId="30" xfId="16" applyFont="1" applyFill="1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3" xfId="0" applyFont="1" applyBorder="1" applyAlignment="1">
      <alignment/>
    </xf>
    <xf numFmtId="182" fontId="29" fillId="0" borderId="3" xfId="21" applyNumberFormat="1" applyFont="1" applyBorder="1" applyAlignment="1">
      <alignment/>
    </xf>
    <xf numFmtId="9" fontId="29" fillId="0" borderId="3" xfId="21" applyNumberFormat="1" applyFont="1" applyBorder="1" applyAlignment="1">
      <alignment/>
    </xf>
    <xf numFmtId="41" fontId="18" fillId="0" borderId="3" xfId="16" applyFont="1" applyBorder="1" applyAlignment="1">
      <alignment vertical="center" wrapText="1"/>
    </xf>
    <xf numFmtId="41" fontId="18" fillId="0" borderId="3" xfId="16" applyFont="1" applyBorder="1" applyAlignment="1">
      <alignment/>
    </xf>
    <xf numFmtId="41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41" fontId="18" fillId="0" borderId="31" xfId="0" applyNumberFormat="1" applyFont="1" applyBorder="1" applyAlignment="1">
      <alignment/>
    </xf>
    <xf numFmtId="0" fontId="18" fillId="0" borderId="7" xfId="0" applyFont="1" applyBorder="1" applyAlignment="1">
      <alignment horizontal="center"/>
    </xf>
    <xf numFmtId="0" fontId="18" fillId="0" borderId="31" xfId="0" applyFont="1" applyBorder="1" applyAlignment="1">
      <alignment/>
    </xf>
    <xf numFmtId="9" fontId="29" fillId="0" borderId="1" xfId="21" applyFont="1" applyBorder="1" applyAlignment="1">
      <alignment/>
    </xf>
    <xf numFmtId="1" fontId="18" fillId="0" borderId="6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8" xfId="0" applyFont="1" applyBorder="1" applyAlignment="1">
      <alignment/>
    </xf>
    <xf numFmtId="182" fontId="29" fillId="0" borderId="8" xfId="21" applyNumberFormat="1" applyFont="1" applyBorder="1" applyAlignment="1">
      <alignment/>
    </xf>
    <xf numFmtId="9" fontId="29" fillId="0" borderId="8" xfId="21" applyFont="1" applyBorder="1" applyAlignment="1">
      <alignment/>
    </xf>
    <xf numFmtId="186" fontId="41" fillId="0" borderId="8" xfId="0" applyNumberFormat="1" applyFont="1" applyBorder="1" applyAlignment="1">
      <alignment vertical="center" wrapText="1"/>
    </xf>
    <xf numFmtId="186" fontId="41" fillId="0" borderId="8" xfId="0" applyNumberFormat="1" applyFont="1" applyBorder="1" applyAlignment="1">
      <alignment horizontal="right" vertical="center" wrapText="1"/>
    </xf>
    <xf numFmtId="0" fontId="36" fillId="0" borderId="8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8" xfId="0" applyFont="1" applyBorder="1" applyAlignment="1">
      <alignment/>
    </xf>
    <xf numFmtId="0" fontId="18" fillId="0" borderId="0" xfId="0" applyFont="1" applyBorder="1" applyAlignment="1">
      <alignment horizontal="center"/>
    </xf>
    <xf numFmtId="41" fontId="18" fillId="0" borderId="0" xfId="16" applyFont="1" applyBorder="1" applyAlignment="1">
      <alignment vertical="center" wrapText="1"/>
    </xf>
    <xf numFmtId="41" fontId="18" fillId="0" borderId="0" xfId="16" applyFont="1" applyBorder="1" applyAlignment="1">
      <alignment/>
    </xf>
    <xf numFmtId="0" fontId="3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39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41" fontId="1" fillId="0" borderId="1" xfId="16" applyFont="1" applyFill="1" applyBorder="1" applyAlignment="1">
      <alignment/>
    </xf>
    <xf numFmtId="1" fontId="1" fillId="0" borderId="1" xfId="16" applyNumberFormat="1" applyFont="1" applyFill="1" applyBorder="1" applyAlignment="1">
      <alignment horizontal="center"/>
    </xf>
    <xf numFmtId="41" fontId="1" fillId="0" borderId="1" xfId="16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/>
    </xf>
    <xf numFmtId="182" fontId="4" fillId="0" borderId="3" xfId="21" applyNumberFormat="1" applyFont="1" applyBorder="1" applyAlignment="1">
      <alignment/>
    </xf>
    <xf numFmtId="9" fontId="4" fillId="0" borderId="3" xfId="21" applyNumberFormat="1" applyFont="1" applyBorder="1" applyAlignment="1">
      <alignment/>
    </xf>
    <xf numFmtId="41" fontId="1" fillId="0" borderId="1" xfId="16" applyFont="1" applyBorder="1" applyAlignment="1">
      <alignment vertical="center" wrapText="1"/>
    </xf>
    <xf numFmtId="41" fontId="1" fillId="0" borderId="6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2" fillId="0" borderId="29" xfId="0" applyFont="1" applyBorder="1" applyAlignment="1">
      <alignment/>
    </xf>
    <xf numFmtId="182" fontId="43" fillId="0" borderId="3" xfId="21" applyNumberFormat="1" applyFont="1" applyBorder="1" applyAlignment="1">
      <alignment/>
    </xf>
    <xf numFmtId="0" fontId="42" fillId="0" borderId="3" xfId="0" applyFont="1" applyBorder="1" applyAlignment="1">
      <alignment/>
    </xf>
    <xf numFmtId="182" fontId="43" fillId="0" borderId="33" xfId="21" applyNumberFormat="1" applyFont="1" applyBorder="1" applyAlignment="1">
      <alignment/>
    </xf>
    <xf numFmtId="0" fontId="42" fillId="0" borderId="7" xfId="0" applyFont="1" applyBorder="1" applyAlignment="1">
      <alignment/>
    </xf>
    <xf numFmtId="182" fontId="43" fillId="0" borderId="1" xfId="21" applyNumberFormat="1" applyFont="1" applyBorder="1" applyAlignment="1">
      <alignment/>
    </xf>
    <xf numFmtId="0" fontId="42" fillId="0" borderId="1" xfId="0" applyFont="1" applyBorder="1" applyAlignment="1">
      <alignment/>
    </xf>
    <xf numFmtId="182" fontId="43" fillId="0" borderId="6" xfId="21" applyNumberFormat="1" applyFont="1" applyBorder="1" applyAlignment="1">
      <alignment/>
    </xf>
    <xf numFmtId="0" fontId="42" fillId="0" borderId="7" xfId="0" applyFont="1" applyBorder="1" applyAlignment="1">
      <alignment horizontal="right"/>
    </xf>
    <xf numFmtId="0" fontId="42" fillId="0" borderId="1" xfId="0" applyFont="1" applyBorder="1" applyAlignment="1">
      <alignment horizontal="right"/>
    </xf>
    <xf numFmtId="0" fontId="42" fillId="0" borderId="14" xfId="0" applyFont="1" applyBorder="1" applyAlignment="1">
      <alignment/>
    </xf>
    <xf numFmtId="182" fontId="43" fillId="0" borderId="13" xfId="21" applyNumberFormat="1" applyFont="1" applyBorder="1" applyAlignment="1">
      <alignment/>
    </xf>
    <xf numFmtId="0" fontId="42" fillId="0" borderId="13" xfId="0" applyFont="1" applyBorder="1" applyAlignment="1">
      <alignment/>
    </xf>
    <xf numFmtId="182" fontId="43" fillId="0" borderId="20" xfId="21" applyNumberFormat="1" applyFont="1" applyBorder="1" applyAlignment="1">
      <alignment/>
    </xf>
    <xf numFmtId="9" fontId="43" fillId="0" borderId="1" xfId="21" applyNumberFormat="1" applyFont="1" applyBorder="1" applyAlignment="1">
      <alignment/>
    </xf>
    <xf numFmtId="0" fontId="1" fillId="0" borderId="34" xfId="0" applyFont="1" applyBorder="1" applyAlignment="1">
      <alignment horizontal="center" vertical="center"/>
    </xf>
    <xf numFmtId="9" fontId="1" fillId="0" borderId="31" xfId="21" applyFont="1" applyBorder="1" applyAlignment="1">
      <alignment/>
    </xf>
    <xf numFmtId="9" fontId="1" fillId="0" borderId="31" xfId="21" applyFont="1" applyBorder="1" applyAlignment="1">
      <alignment horizontal="right"/>
    </xf>
    <xf numFmtId="9" fontId="1" fillId="0" borderId="35" xfId="21" applyFont="1" applyBorder="1" applyAlignment="1">
      <alignment/>
    </xf>
    <xf numFmtId="182" fontId="1" fillId="0" borderId="36" xfId="21" applyNumberFormat="1" applyFont="1" applyBorder="1" applyAlignment="1">
      <alignment/>
    </xf>
    <xf numFmtId="182" fontId="1" fillId="0" borderId="31" xfId="21" applyNumberFormat="1" applyFont="1" applyBorder="1" applyAlignment="1">
      <alignment/>
    </xf>
    <xf numFmtId="182" fontId="3" fillId="0" borderId="37" xfId="21" applyNumberFormat="1" applyFont="1" applyBorder="1" applyAlignment="1">
      <alignment/>
    </xf>
    <xf numFmtId="41" fontId="3" fillId="2" borderId="1" xfId="16" applyFont="1" applyFill="1" applyBorder="1" applyAlignment="1">
      <alignment vertical="center"/>
    </xf>
    <xf numFmtId="182" fontId="23" fillId="0" borderId="1" xfId="21" applyNumberFormat="1" applyFont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9" fontId="1" fillId="0" borderId="38" xfId="21" applyFont="1" applyBorder="1" applyAlignment="1">
      <alignment/>
    </xf>
    <xf numFmtId="182" fontId="3" fillId="0" borderId="40" xfId="21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182" fontId="1" fillId="0" borderId="33" xfId="21" applyNumberFormat="1" applyFont="1" applyBorder="1" applyAlignment="1">
      <alignment/>
    </xf>
    <xf numFmtId="41" fontId="3" fillId="2" borderId="24" xfId="16" applyFont="1" applyFill="1" applyBorder="1" applyAlignment="1">
      <alignment/>
    </xf>
    <xf numFmtId="41" fontId="1" fillId="0" borderId="0" xfId="16" applyFont="1" applyBorder="1" applyAlignment="1">
      <alignment horizontal="center"/>
    </xf>
    <xf numFmtId="0" fontId="1" fillId="0" borderId="13" xfId="0" applyFont="1" applyBorder="1" applyAlignment="1">
      <alignment/>
    </xf>
    <xf numFmtId="41" fontId="1" fillId="0" borderId="13" xfId="16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1" fontId="1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6" applyFont="1" applyFill="1" applyBorder="1" applyAlignment="1">
      <alignment horizontal="center" vertical="center"/>
    </xf>
    <xf numFmtId="41" fontId="3" fillId="0" borderId="1" xfId="16" applyFont="1" applyBorder="1" applyAlignment="1">
      <alignment horizontal="center" vertical="center" textRotation="180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180" wrapText="1"/>
    </xf>
    <xf numFmtId="0" fontId="1" fillId="0" borderId="47" xfId="0" applyFont="1" applyBorder="1" applyAlignment="1">
      <alignment horizontal="center" vertical="center" textRotation="180" wrapText="1"/>
    </xf>
    <xf numFmtId="0" fontId="1" fillId="0" borderId="3" xfId="0" applyFont="1" applyBorder="1" applyAlignment="1">
      <alignment horizontal="center" vertical="center" textRotation="180" wrapText="1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1" fontId="3" fillId="2" borderId="1" xfId="16" applyFont="1" applyFill="1" applyBorder="1" applyAlignment="1">
      <alignment horizontal="center"/>
    </xf>
    <xf numFmtId="41" fontId="36" fillId="2" borderId="58" xfId="16" applyFont="1" applyFill="1" applyBorder="1" applyAlignment="1">
      <alignment horizontal="center"/>
    </xf>
    <xf numFmtId="41" fontId="36" fillId="2" borderId="59" xfId="16" applyFont="1" applyFill="1" applyBorder="1" applyAlignment="1">
      <alignment horizontal="center"/>
    </xf>
    <xf numFmtId="41" fontId="36" fillId="2" borderId="60" xfId="16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 textRotation="180" wrapText="1"/>
    </xf>
    <xf numFmtId="0" fontId="18" fillId="0" borderId="47" xfId="0" applyFont="1" applyBorder="1" applyAlignment="1">
      <alignment horizontal="center" vertical="center" textRotation="180" wrapText="1"/>
    </xf>
    <xf numFmtId="0" fontId="18" fillId="0" borderId="3" xfId="0" applyFont="1" applyBorder="1" applyAlignment="1">
      <alignment horizontal="center" vertical="center" textRotation="180" wrapText="1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textRotation="180" wrapText="1"/>
    </xf>
    <xf numFmtId="0" fontId="18" fillId="0" borderId="47" xfId="0" applyFont="1" applyBorder="1" applyAlignment="1">
      <alignment vertical="center" textRotation="180" wrapText="1"/>
    </xf>
    <xf numFmtId="0" fontId="18" fillId="0" borderId="3" xfId="0" applyFont="1" applyBorder="1" applyAlignment="1">
      <alignment vertical="center" textRotation="180" wrapText="1"/>
    </xf>
    <xf numFmtId="41" fontId="36" fillId="0" borderId="17" xfId="0" applyNumberFormat="1" applyFont="1" applyBorder="1" applyAlignment="1">
      <alignment horizontal="center" vertical="center" wrapText="1"/>
    </xf>
    <xf numFmtId="41" fontId="36" fillId="0" borderId="40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6" fillId="2" borderId="23" xfId="0" applyFont="1" applyFill="1" applyBorder="1" applyAlignment="1">
      <alignment horizontal="center"/>
    </xf>
    <xf numFmtId="0" fontId="36" fillId="2" borderId="30" xfId="0" applyFont="1" applyFill="1" applyBorder="1" applyAlignment="1">
      <alignment horizontal="center"/>
    </xf>
    <xf numFmtId="0" fontId="18" fillId="0" borderId="28" xfId="0" applyFont="1" applyBorder="1" applyAlignment="1">
      <alignment horizontal="center" vertical="center" textRotation="180"/>
    </xf>
    <xf numFmtId="0" fontId="18" fillId="0" borderId="27" xfId="0" applyFont="1" applyBorder="1" applyAlignment="1">
      <alignment horizontal="center" vertical="center" textRotation="180"/>
    </xf>
    <xf numFmtId="0" fontId="18" fillId="0" borderId="41" xfId="0" applyFont="1" applyBorder="1" applyAlignment="1">
      <alignment horizontal="center" vertical="center" textRotation="180"/>
    </xf>
    <xf numFmtId="0" fontId="18" fillId="0" borderId="61" xfId="0" applyFont="1" applyBorder="1" applyAlignment="1">
      <alignment horizontal="center" vertical="center" textRotation="180"/>
    </xf>
    <xf numFmtId="0" fontId="18" fillId="0" borderId="0" xfId="0" applyFont="1" applyBorder="1" applyAlignment="1">
      <alignment horizontal="center" vertical="center" textRotation="180"/>
    </xf>
    <xf numFmtId="0" fontId="18" fillId="0" borderId="52" xfId="0" applyFont="1" applyBorder="1" applyAlignment="1">
      <alignment horizontal="center" vertical="center" textRotation="180"/>
    </xf>
    <xf numFmtId="0" fontId="18" fillId="0" borderId="56" xfId="0" applyFont="1" applyBorder="1" applyAlignment="1">
      <alignment horizontal="center" vertical="center" textRotation="180"/>
    </xf>
    <xf numFmtId="0" fontId="18" fillId="0" borderId="2" xfId="0" applyFont="1" applyBorder="1" applyAlignment="1">
      <alignment horizontal="center" vertical="center" textRotation="180"/>
    </xf>
    <xf numFmtId="0" fontId="18" fillId="0" borderId="36" xfId="0" applyFont="1" applyBorder="1" applyAlignment="1">
      <alignment horizontal="center" vertical="center" textRotation="180"/>
    </xf>
    <xf numFmtId="41" fontId="36" fillId="2" borderId="44" xfId="16" applyFont="1" applyFill="1" applyBorder="1" applyAlignment="1">
      <alignment horizontal="center"/>
    </xf>
    <xf numFmtId="41" fontId="36" fillId="2" borderId="23" xfId="16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180"/>
    </xf>
    <xf numFmtId="0" fontId="1" fillId="0" borderId="2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1" fontId="3" fillId="2" borderId="22" xfId="16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180"/>
    </xf>
    <xf numFmtId="0" fontId="1" fillId="0" borderId="41" xfId="0" applyFont="1" applyBorder="1" applyAlignment="1">
      <alignment horizontal="center" vertical="center" textRotation="180"/>
    </xf>
    <xf numFmtId="0" fontId="1" fillId="0" borderId="61" xfId="0" applyFont="1" applyBorder="1" applyAlignment="1">
      <alignment horizontal="center" vertical="center" textRotation="180"/>
    </xf>
    <xf numFmtId="0" fontId="1" fillId="0" borderId="52" xfId="0" applyFont="1" applyBorder="1" applyAlignment="1">
      <alignment horizontal="center" vertical="center" textRotation="180"/>
    </xf>
    <xf numFmtId="0" fontId="1" fillId="0" borderId="56" xfId="0" applyFont="1" applyBorder="1" applyAlignment="1">
      <alignment horizontal="center" vertical="center" textRotation="180"/>
    </xf>
    <xf numFmtId="0" fontId="1" fillId="0" borderId="36" xfId="0" applyFont="1" applyBorder="1" applyAlignment="1">
      <alignment horizontal="center" vertical="center" textRotation="180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180" wrapText="1"/>
    </xf>
    <xf numFmtId="0" fontId="1" fillId="0" borderId="63" xfId="0" applyFont="1" applyBorder="1" applyAlignment="1">
      <alignment horizontal="center" vertical="center" textRotation="180" wrapText="1"/>
    </xf>
    <xf numFmtId="0" fontId="1" fillId="0" borderId="33" xfId="0" applyFont="1" applyBorder="1" applyAlignment="1">
      <alignment horizontal="center" vertical="center" textRotation="180" wrapText="1"/>
    </xf>
    <xf numFmtId="0" fontId="1" fillId="0" borderId="4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9" fontId="9" fillId="0" borderId="1" xfId="2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81" fontId="11" fillId="0" borderId="5" xfId="15" applyNumberFormat="1" applyFont="1" applyFill="1" applyBorder="1" applyAlignment="1">
      <alignment horizontal="center" vertical="center"/>
    </xf>
    <xf numFmtId="181" fontId="11" fillId="0" borderId="46" xfId="15" applyNumberFormat="1" applyFont="1" applyFill="1" applyBorder="1" applyAlignment="1">
      <alignment horizontal="center" vertical="center"/>
    </xf>
    <xf numFmtId="181" fontId="11" fillId="0" borderId="31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</xdr:row>
      <xdr:rowOff>57150</xdr:rowOff>
    </xdr:from>
    <xdr:to>
      <xdr:col>7</xdr:col>
      <xdr:colOff>85725</xdr:colOff>
      <xdr:row>2</xdr:row>
      <xdr:rowOff>57150</xdr:rowOff>
    </xdr:to>
    <xdr:sp>
      <xdr:nvSpPr>
        <xdr:cNvPr id="1" name="Line 2"/>
        <xdr:cNvSpPr>
          <a:spLocks/>
        </xdr:cNvSpPr>
      </xdr:nvSpPr>
      <xdr:spPr>
        <a:xfrm>
          <a:off x="962025" y="5334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114300</xdr:colOff>
      <xdr:row>3</xdr:row>
      <xdr:rowOff>76200</xdr:rowOff>
    </xdr:from>
    <xdr:to>
      <xdr:col>21</xdr:col>
      <xdr:colOff>304800</xdr:colOff>
      <xdr:row>3</xdr:row>
      <xdr:rowOff>76200</xdr:rowOff>
    </xdr:to>
    <xdr:sp>
      <xdr:nvSpPr>
        <xdr:cNvPr id="2" name="Line 3"/>
        <xdr:cNvSpPr>
          <a:spLocks/>
        </xdr:cNvSpPr>
      </xdr:nvSpPr>
      <xdr:spPr>
        <a:xfrm>
          <a:off x="6562725" y="7905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B11" sqref="B11"/>
    </sheetView>
  </sheetViews>
  <sheetFormatPr defaultColWidth="8.88671875" defaultRowHeight="18.75"/>
  <sheetData>
    <row r="3" spans="2:4" ht="18.75">
      <c r="B3" t="s">
        <v>105</v>
      </c>
      <c r="C3" t="s">
        <v>221</v>
      </c>
      <c r="D3" t="s">
        <v>2</v>
      </c>
    </row>
    <row r="4" spans="1:4" ht="18.75">
      <c r="A4" t="s">
        <v>222</v>
      </c>
      <c r="B4">
        <f>43</f>
        <v>43</v>
      </c>
      <c r="C4">
        <f>64+30</f>
        <v>94</v>
      </c>
      <c r="D4">
        <f>5+76+36</f>
        <v>117</v>
      </c>
    </row>
    <row r="5" spans="1:4" ht="18.75">
      <c r="A5" t="s">
        <v>100</v>
      </c>
      <c r="B5">
        <v>696</v>
      </c>
      <c r="C5">
        <f>1952+937</f>
        <v>2889</v>
      </c>
      <c r="D5">
        <f>141+2188+1128</f>
        <v>3457</v>
      </c>
    </row>
    <row r="6" spans="1:4" ht="18.75">
      <c r="A6" t="s">
        <v>225</v>
      </c>
      <c r="B6">
        <f>522</f>
        <v>522</v>
      </c>
      <c r="C6">
        <f>458+1494+91+530</f>
        <v>2573</v>
      </c>
      <c r="D6">
        <f>65+1324+1128</f>
        <v>2517</v>
      </c>
    </row>
    <row r="8" ht="18.75">
      <c r="B8">
        <f>B4+C4</f>
        <v>137</v>
      </c>
    </row>
    <row r="9" ht="18.75">
      <c r="B9">
        <f>B5+C5</f>
        <v>3585</v>
      </c>
    </row>
    <row r="10" ht="18.75">
      <c r="B10">
        <f>B6+C6</f>
        <v>3095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view="pageBreakPreview" zoomScale="60" zoomScaleNormal="90" workbookViewId="0" topLeftCell="A1">
      <selection activeCell="F29" sqref="F29:H29"/>
    </sheetView>
  </sheetViews>
  <sheetFormatPr defaultColWidth="8.88671875" defaultRowHeight="18.75"/>
  <cols>
    <col min="1" max="1" width="3.10546875" style="1" customWidth="1"/>
    <col min="2" max="2" width="12.10546875" style="1" customWidth="1"/>
    <col min="3" max="3" width="3.88671875" style="1" customWidth="1"/>
    <col min="4" max="4" width="5.88671875" style="1" customWidth="1"/>
    <col min="5" max="6" width="4.3359375" style="0" customWidth="1"/>
    <col min="7" max="7" width="3.77734375" style="0" customWidth="1"/>
    <col min="8" max="8" width="4.3359375" style="0" customWidth="1"/>
    <col min="9" max="9" width="4.5546875" style="0" customWidth="1"/>
    <col min="10" max="10" width="4.3359375" style="0" customWidth="1"/>
    <col min="11" max="11" width="3.99609375" style="0" customWidth="1"/>
    <col min="12" max="12" width="4.5546875" style="0" customWidth="1"/>
    <col min="13" max="13" width="4.3359375" style="0" customWidth="1"/>
    <col min="14" max="14" width="3.99609375" style="0" customWidth="1"/>
    <col min="15" max="15" width="3.4453125" style="0" customWidth="1"/>
    <col min="16" max="16" width="4.21484375" style="0" customWidth="1"/>
    <col min="17" max="17" width="4.77734375" style="0" customWidth="1"/>
    <col min="18" max="18" width="4.6640625" style="0" customWidth="1"/>
    <col min="19" max="19" width="4.5546875" style="0" customWidth="1"/>
    <col min="20" max="20" width="4.88671875" style="0" customWidth="1"/>
    <col min="21" max="21" width="4.21484375" style="0" customWidth="1"/>
    <col min="22" max="22" width="4.88671875" style="0" customWidth="1"/>
    <col min="23" max="23" width="4.77734375" style="0" customWidth="1"/>
    <col min="24" max="24" width="4.6640625" style="0" customWidth="1"/>
    <col min="25" max="25" width="4.99609375" style="0" customWidth="1"/>
    <col min="26" max="26" width="4.99609375" style="0" hidden="1" customWidth="1"/>
    <col min="27" max="27" width="5.10546875" style="0" customWidth="1"/>
    <col min="28" max="28" width="4.6640625" style="0" customWidth="1"/>
    <col min="29" max="29" width="4.88671875" style="0" customWidth="1"/>
  </cols>
  <sheetData>
    <row r="1" spans="2:29" ht="18.75">
      <c r="B1" s="361" t="s">
        <v>21</v>
      </c>
      <c r="C1" s="361"/>
      <c r="D1" s="361"/>
      <c r="E1" s="362"/>
      <c r="F1" s="362"/>
      <c r="G1" s="362"/>
      <c r="H1" s="362"/>
      <c r="I1" s="362"/>
      <c r="J1" s="363" t="s">
        <v>145</v>
      </c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</row>
    <row r="2" spans="2:29" ht="18.75"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</row>
    <row r="3" spans="10:29" ht="18.75"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</row>
    <row r="4" ht="19.5" thickBot="1"/>
    <row r="5" spans="1:29" s="3" customFormat="1" ht="18.75" customHeight="1">
      <c r="A5" s="351" t="s">
        <v>0</v>
      </c>
      <c r="B5" s="364" t="s">
        <v>1</v>
      </c>
      <c r="C5" s="348" t="s">
        <v>11</v>
      </c>
      <c r="D5" s="344"/>
      <c r="E5" s="386" t="s">
        <v>105</v>
      </c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 t="s">
        <v>2</v>
      </c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7"/>
    </row>
    <row r="6" spans="1:29" s="3" customFormat="1" ht="17.25" customHeight="1">
      <c r="A6" s="380"/>
      <c r="B6" s="365"/>
      <c r="C6" s="370"/>
      <c r="D6" s="371"/>
      <c r="E6" s="382" t="s">
        <v>4</v>
      </c>
      <c r="F6" s="383"/>
      <c r="G6" s="383"/>
      <c r="H6" s="384"/>
      <c r="I6" s="358" t="s">
        <v>3</v>
      </c>
      <c r="J6" s="359"/>
      <c r="K6" s="359"/>
      <c r="L6" s="359"/>
      <c r="M6" s="359"/>
      <c r="N6" s="359"/>
      <c r="O6" s="359"/>
      <c r="P6" s="360"/>
      <c r="Q6" s="382" t="s">
        <v>11</v>
      </c>
      <c r="R6" s="383"/>
      <c r="S6" s="383"/>
      <c r="T6" s="384"/>
      <c r="U6" s="358" t="s">
        <v>3</v>
      </c>
      <c r="V6" s="359"/>
      <c r="W6" s="359"/>
      <c r="X6" s="359"/>
      <c r="Y6" s="359"/>
      <c r="Z6" s="359"/>
      <c r="AA6" s="359"/>
      <c r="AB6" s="359"/>
      <c r="AC6" s="381"/>
    </row>
    <row r="7" spans="1:29" s="3" customFormat="1" ht="19.5" customHeight="1">
      <c r="A7" s="380"/>
      <c r="B7" s="365"/>
      <c r="C7" s="372"/>
      <c r="D7" s="373"/>
      <c r="E7" s="372"/>
      <c r="F7" s="385"/>
      <c r="G7" s="385"/>
      <c r="H7" s="373"/>
      <c r="I7" s="358" t="s">
        <v>5</v>
      </c>
      <c r="J7" s="359"/>
      <c r="K7" s="359"/>
      <c r="L7" s="360"/>
      <c r="M7" s="358" t="s">
        <v>6</v>
      </c>
      <c r="N7" s="359"/>
      <c r="O7" s="359"/>
      <c r="P7" s="360"/>
      <c r="Q7" s="372"/>
      <c r="R7" s="385"/>
      <c r="S7" s="385"/>
      <c r="T7" s="373"/>
      <c r="U7" s="358" t="s">
        <v>5</v>
      </c>
      <c r="V7" s="359"/>
      <c r="W7" s="359"/>
      <c r="X7" s="360"/>
      <c r="Y7" s="358" t="s">
        <v>19</v>
      </c>
      <c r="Z7" s="359"/>
      <c r="AA7" s="359"/>
      <c r="AB7" s="359"/>
      <c r="AC7" s="381"/>
    </row>
    <row r="8" spans="1:29" s="3" customFormat="1" ht="18.75" customHeight="1">
      <c r="A8" s="380"/>
      <c r="B8" s="365"/>
      <c r="C8" s="135" t="s">
        <v>7</v>
      </c>
      <c r="D8" s="135" t="s">
        <v>8</v>
      </c>
      <c r="E8" s="135" t="s">
        <v>7</v>
      </c>
      <c r="F8" s="135" t="s">
        <v>8</v>
      </c>
      <c r="G8" s="135" t="s">
        <v>9</v>
      </c>
      <c r="H8" s="135" t="s">
        <v>10</v>
      </c>
      <c r="I8" s="135" t="s">
        <v>7</v>
      </c>
      <c r="J8" s="135" t="s">
        <v>8</v>
      </c>
      <c r="K8" s="135" t="s">
        <v>9</v>
      </c>
      <c r="L8" s="135" t="s">
        <v>10</v>
      </c>
      <c r="M8" s="135" t="s">
        <v>7</v>
      </c>
      <c r="N8" s="135" t="s">
        <v>8</v>
      </c>
      <c r="O8" s="135" t="s">
        <v>9</v>
      </c>
      <c r="P8" s="135" t="s">
        <v>10</v>
      </c>
      <c r="Q8" s="135" t="s">
        <v>20</v>
      </c>
      <c r="R8" s="135" t="s">
        <v>8</v>
      </c>
      <c r="S8" s="135" t="s">
        <v>9</v>
      </c>
      <c r="T8" s="135" t="s">
        <v>10</v>
      </c>
      <c r="U8" s="135" t="s">
        <v>20</v>
      </c>
      <c r="V8" s="135" t="s">
        <v>8</v>
      </c>
      <c r="W8" s="135" t="s">
        <v>9</v>
      </c>
      <c r="X8" s="135" t="s">
        <v>10</v>
      </c>
      <c r="Y8" s="135" t="s">
        <v>20</v>
      </c>
      <c r="Z8" s="135"/>
      <c r="AA8" s="135" t="s">
        <v>8</v>
      </c>
      <c r="AB8" s="135" t="s">
        <v>9</v>
      </c>
      <c r="AC8" s="155" t="s">
        <v>10</v>
      </c>
    </row>
    <row r="9" spans="1:29" ht="15" customHeight="1" thickBot="1">
      <c r="A9" s="158">
        <v>1</v>
      </c>
      <c r="B9" s="156">
        <v>2</v>
      </c>
      <c r="C9" s="156">
        <v>3</v>
      </c>
      <c r="D9" s="156">
        <v>4</v>
      </c>
      <c r="E9" s="156">
        <v>5</v>
      </c>
      <c r="F9" s="156">
        <v>6</v>
      </c>
      <c r="G9" s="156">
        <v>7</v>
      </c>
      <c r="H9" s="156">
        <v>8</v>
      </c>
      <c r="I9" s="156">
        <v>9</v>
      </c>
      <c r="J9" s="156">
        <v>10</v>
      </c>
      <c r="K9" s="156">
        <v>11</v>
      </c>
      <c r="L9" s="156">
        <v>12</v>
      </c>
      <c r="M9" s="156">
        <v>13</v>
      </c>
      <c r="N9" s="156">
        <v>14</v>
      </c>
      <c r="O9" s="156">
        <v>15</v>
      </c>
      <c r="P9" s="156">
        <v>16</v>
      </c>
      <c r="Q9" s="156">
        <v>17</v>
      </c>
      <c r="R9" s="156">
        <v>18</v>
      </c>
      <c r="S9" s="156">
        <v>19</v>
      </c>
      <c r="T9" s="156">
        <v>20</v>
      </c>
      <c r="U9" s="156">
        <v>21</v>
      </c>
      <c r="V9" s="156">
        <v>22</v>
      </c>
      <c r="W9" s="156">
        <v>23</v>
      </c>
      <c r="X9" s="156">
        <v>24</v>
      </c>
      <c r="Y9" s="156">
        <v>25</v>
      </c>
      <c r="Z9" s="156"/>
      <c r="AA9" s="156">
        <v>26</v>
      </c>
      <c r="AB9" s="156">
        <v>27</v>
      </c>
      <c r="AC9" s="159">
        <v>28</v>
      </c>
    </row>
    <row r="10" spans="1:29" s="4" customFormat="1" ht="17.25" customHeight="1">
      <c r="A10" s="160"/>
      <c r="B10" s="161" t="s">
        <v>11</v>
      </c>
      <c r="C10" s="162">
        <f>E10+Q10</f>
        <v>824</v>
      </c>
      <c r="D10" s="162">
        <f>F10+R10</f>
        <v>20668</v>
      </c>
      <c r="E10" s="161">
        <f aca="true" t="shared" si="0" ref="E10:AC10">SUM(E11:E17)</f>
        <v>165</v>
      </c>
      <c r="F10" s="161">
        <f t="shared" si="0"/>
        <v>3387</v>
      </c>
      <c r="G10" s="161">
        <f t="shared" si="0"/>
        <v>231</v>
      </c>
      <c r="H10" s="161">
        <f t="shared" si="0"/>
        <v>149</v>
      </c>
      <c r="I10" s="161">
        <f t="shared" si="0"/>
        <v>64</v>
      </c>
      <c r="J10" s="161">
        <f t="shared" si="0"/>
        <v>1301</v>
      </c>
      <c r="K10" s="161">
        <f t="shared" si="0"/>
        <v>118</v>
      </c>
      <c r="L10" s="161">
        <f t="shared" si="0"/>
        <v>70</v>
      </c>
      <c r="M10" s="161">
        <f t="shared" si="0"/>
        <v>101</v>
      </c>
      <c r="N10" s="161">
        <f t="shared" si="0"/>
        <v>2086</v>
      </c>
      <c r="O10" s="161">
        <f t="shared" si="0"/>
        <v>113</v>
      </c>
      <c r="P10" s="161">
        <f t="shared" si="0"/>
        <v>79</v>
      </c>
      <c r="Q10" s="161">
        <f t="shared" si="0"/>
        <v>659</v>
      </c>
      <c r="R10" s="161">
        <f t="shared" si="0"/>
        <v>17281</v>
      </c>
      <c r="S10" s="161">
        <f t="shared" si="0"/>
        <v>957</v>
      </c>
      <c r="T10" s="161">
        <f t="shared" si="0"/>
        <v>584</v>
      </c>
      <c r="U10" s="161">
        <f t="shared" si="0"/>
        <v>518</v>
      </c>
      <c r="V10" s="161">
        <f t="shared" si="0"/>
        <v>13060</v>
      </c>
      <c r="W10" s="161">
        <f t="shared" si="0"/>
        <v>731</v>
      </c>
      <c r="X10" s="161">
        <f t="shared" si="0"/>
        <v>433</v>
      </c>
      <c r="Y10" s="161">
        <f t="shared" si="0"/>
        <v>141</v>
      </c>
      <c r="Z10" s="161"/>
      <c r="AA10" s="161">
        <f t="shared" si="0"/>
        <v>4221</v>
      </c>
      <c r="AB10" s="161">
        <f t="shared" si="0"/>
        <v>226</v>
      </c>
      <c r="AC10" s="163">
        <f t="shared" si="0"/>
        <v>151</v>
      </c>
    </row>
    <row r="11" spans="1:29" s="209" customFormat="1" ht="15.75" customHeight="1">
      <c r="A11" s="200">
        <v>1</v>
      </c>
      <c r="B11" s="206" t="s">
        <v>12</v>
      </c>
      <c r="C11" s="157">
        <f aca="true" t="shared" si="1" ref="C11:C17">E11+Q11</f>
        <v>96</v>
      </c>
      <c r="D11" s="157">
        <f aca="true" t="shared" si="2" ref="D11:D17">F11+R11</f>
        <v>2665</v>
      </c>
      <c r="E11" s="207">
        <f>I11+M11</f>
        <v>14</v>
      </c>
      <c r="F11" s="207">
        <f>J11+N11</f>
        <v>384</v>
      </c>
      <c r="G11" s="207">
        <f>K11+O11</f>
        <v>26</v>
      </c>
      <c r="H11" s="207">
        <f>L11+P11</f>
        <v>12</v>
      </c>
      <c r="I11" s="207">
        <v>12</v>
      </c>
      <c r="J11" s="207">
        <v>361</v>
      </c>
      <c r="K11" s="207">
        <v>24</v>
      </c>
      <c r="L11" s="207">
        <v>10</v>
      </c>
      <c r="M11" s="207">
        <v>2</v>
      </c>
      <c r="N11" s="207">
        <v>23</v>
      </c>
      <c r="O11" s="207">
        <v>2</v>
      </c>
      <c r="P11" s="207">
        <v>2</v>
      </c>
      <c r="Q11" s="207">
        <f>U11+Y11</f>
        <v>82</v>
      </c>
      <c r="R11" s="207">
        <f>V11+AA11</f>
        <v>2281</v>
      </c>
      <c r="S11" s="207">
        <f>W11+AB11</f>
        <v>158</v>
      </c>
      <c r="T11" s="207">
        <f>X11+AC11</f>
        <v>77</v>
      </c>
      <c r="U11" s="207">
        <v>79</v>
      </c>
      <c r="V11" s="207">
        <v>2171</v>
      </c>
      <c r="W11" s="207">
        <v>155</v>
      </c>
      <c r="X11" s="207">
        <v>74</v>
      </c>
      <c r="Y11" s="207">
        <v>3</v>
      </c>
      <c r="Z11" s="207"/>
      <c r="AA11" s="207">
        <v>110</v>
      </c>
      <c r="AB11" s="207">
        <v>3</v>
      </c>
      <c r="AC11" s="208">
        <v>3</v>
      </c>
    </row>
    <row r="12" spans="1:29" s="209" customFormat="1" ht="14.25" customHeight="1">
      <c r="A12" s="200">
        <v>2</v>
      </c>
      <c r="B12" s="206" t="s">
        <v>13</v>
      </c>
      <c r="C12" s="157">
        <f t="shared" si="1"/>
        <v>47</v>
      </c>
      <c r="D12" s="157">
        <f t="shared" si="2"/>
        <v>973</v>
      </c>
      <c r="E12" s="207">
        <f aca="true" t="shared" si="3" ref="E12:E17">I12+M12</f>
        <v>15</v>
      </c>
      <c r="F12" s="207">
        <f aca="true" t="shared" si="4" ref="F12:F17">J12+N12</f>
        <v>341</v>
      </c>
      <c r="G12" s="207">
        <f aca="true" t="shared" si="5" ref="G12:G17">K12+O12</f>
        <v>24</v>
      </c>
      <c r="H12" s="207">
        <f aca="true" t="shared" si="6" ref="H12:H17">L12+P12</f>
        <v>8</v>
      </c>
      <c r="I12" s="207">
        <v>15</v>
      </c>
      <c r="J12" s="207">
        <v>341</v>
      </c>
      <c r="K12" s="207">
        <v>24</v>
      </c>
      <c r="L12" s="207">
        <v>8</v>
      </c>
      <c r="M12" s="207"/>
      <c r="N12" s="207"/>
      <c r="O12" s="207"/>
      <c r="P12" s="207"/>
      <c r="Q12" s="207">
        <f aca="true" t="shared" si="7" ref="Q12:Q17">U12+Y12</f>
        <v>32</v>
      </c>
      <c r="R12" s="207">
        <f aca="true" t="shared" si="8" ref="R12:R17">V12+AA12</f>
        <v>632</v>
      </c>
      <c r="S12" s="207">
        <f aca="true" t="shared" si="9" ref="S12:S17">W12+AB12</f>
        <v>61</v>
      </c>
      <c r="T12" s="207">
        <f aca="true" t="shared" si="10" ref="T12:T17">X12+AC12</f>
        <v>31</v>
      </c>
      <c r="U12" s="207">
        <v>32</v>
      </c>
      <c r="V12" s="207">
        <v>632</v>
      </c>
      <c r="W12" s="207">
        <v>61</v>
      </c>
      <c r="X12" s="207">
        <v>31</v>
      </c>
      <c r="Y12" s="207"/>
      <c r="Z12" s="207"/>
      <c r="AA12" s="207"/>
      <c r="AB12" s="207"/>
      <c r="AC12" s="208"/>
    </row>
    <row r="13" spans="1:29" s="209" customFormat="1" ht="16.5" customHeight="1">
      <c r="A13" s="200">
        <v>3</v>
      </c>
      <c r="B13" s="206" t="s">
        <v>14</v>
      </c>
      <c r="C13" s="157">
        <f t="shared" si="1"/>
        <v>263</v>
      </c>
      <c r="D13" s="157">
        <f t="shared" si="2"/>
        <v>7042</v>
      </c>
      <c r="E13" s="207">
        <f t="shared" si="3"/>
        <v>70</v>
      </c>
      <c r="F13" s="207">
        <f t="shared" si="4"/>
        <v>1271</v>
      </c>
      <c r="G13" s="207">
        <f t="shared" si="5"/>
        <v>115</v>
      </c>
      <c r="H13" s="207">
        <f t="shared" si="6"/>
        <v>73</v>
      </c>
      <c r="I13" s="207">
        <f>5</f>
        <v>5</v>
      </c>
      <c r="J13" s="207">
        <f>117</f>
        <v>117</v>
      </c>
      <c r="K13" s="207">
        <f>13</f>
        <v>13</v>
      </c>
      <c r="L13" s="207">
        <f>5</f>
        <v>5</v>
      </c>
      <c r="M13" s="207">
        <f>43+22</f>
        <v>65</v>
      </c>
      <c r="N13" s="207">
        <f>696+458</f>
        <v>1154</v>
      </c>
      <c r="O13" s="207">
        <f>65+37</f>
        <v>102</v>
      </c>
      <c r="P13" s="207">
        <f>41+27</f>
        <v>68</v>
      </c>
      <c r="Q13" s="207">
        <f t="shared" si="7"/>
        <v>193</v>
      </c>
      <c r="R13" s="207">
        <f t="shared" si="8"/>
        <v>5771</v>
      </c>
      <c r="S13" s="207">
        <f t="shared" si="9"/>
        <v>283</v>
      </c>
      <c r="T13" s="207">
        <f t="shared" si="10"/>
        <v>187</v>
      </c>
      <c r="U13" s="207">
        <f>25+76</f>
        <v>101</v>
      </c>
      <c r="V13" s="207">
        <f>820+2188</f>
        <v>3008</v>
      </c>
      <c r="W13" s="207">
        <f>43+89</f>
        <v>132</v>
      </c>
      <c r="X13" s="207">
        <f>20+75</f>
        <v>95</v>
      </c>
      <c r="Y13" s="207">
        <f>5+51+36</f>
        <v>92</v>
      </c>
      <c r="Z13" s="207"/>
      <c r="AA13" s="207">
        <f>141+1494+1128</f>
        <v>2763</v>
      </c>
      <c r="AB13" s="207">
        <f>8+76+67</f>
        <v>151</v>
      </c>
      <c r="AC13" s="208">
        <f>5+49+38</f>
        <v>92</v>
      </c>
    </row>
    <row r="14" spans="1:29" s="307" customFormat="1" ht="18" customHeight="1">
      <c r="A14" s="303">
        <v>4</v>
      </c>
      <c r="B14" s="304" t="s">
        <v>15</v>
      </c>
      <c r="C14" s="157">
        <f t="shared" si="1"/>
        <v>135</v>
      </c>
      <c r="D14" s="157">
        <f t="shared" si="2"/>
        <v>3762</v>
      </c>
      <c r="E14" s="305">
        <f t="shared" si="3"/>
        <v>7</v>
      </c>
      <c r="F14" s="305">
        <f t="shared" si="4"/>
        <v>156</v>
      </c>
      <c r="G14" s="305">
        <f t="shared" si="5"/>
        <v>14</v>
      </c>
      <c r="H14" s="305">
        <f t="shared" si="6"/>
        <v>11</v>
      </c>
      <c r="I14" s="305">
        <v>2</v>
      </c>
      <c r="J14" s="305">
        <v>45</v>
      </c>
      <c r="K14" s="305">
        <v>5</v>
      </c>
      <c r="L14" s="305">
        <v>2</v>
      </c>
      <c r="M14" s="305">
        <v>5</v>
      </c>
      <c r="N14" s="305">
        <v>111</v>
      </c>
      <c r="O14" s="305">
        <f>3+6</f>
        <v>9</v>
      </c>
      <c r="P14" s="305">
        <f>5+4</f>
        <v>9</v>
      </c>
      <c r="Q14" s="305">
        <f t="shared" si="7"/>
        <v>128</v>
      </c>
      <c r="R14" s="305">
        <f t="shared" si="8"/>
        <v>3606</v>
      </c>
      <c r="S14" s="305">
        <f t="shared" si="9"/>
        <v>189</v>
      </c>
      <c r="T14" s="305">
        <f t="shared" si="10"/>
        <v>100</v>
      </c>
      <c r="U14" s="305">
        <f>23+59</f>
        <v>82</v>
      </c>
      <c r="V14" s="305">
        <f>1571+687</f>
        <v>2258</v>
      </c>
      <c r="W14" s="305">
        <f>78+39</f>
        <v>117</v>
      </c>
      <c r="X14" s="305">
        <f>13+14+17</f>
        <v>44</v>
      </c>
      <c r="Y14" s="305">
        <f>33+13</f>
        <v>46</v>
      </c>
      <c r="Z14" s="305"/>
      <c r="AA14" s="305">
        <f>937+411</f>
        <v>1348</v>
      </c>
      <c r="AB14" s="305">
        <f>52+20</f>
        <v>72</v>
      </c>
      <c r="AC14" s="306">
        <f>40+16</f>
        <v>56</v>
      </c>
    </row>
    <row r="15" spans="1:29" s="209" customFormat="1" ht="18" customHeight="1">
      <c r="A15" s="200">
        <v>5</v>
      </c>
      <c r="B15" s="206" t="s">
        <v>16</v>
      </c>
      <c r="C15" s="157">
        <f t="shared" si="1"/>
        <v>84</v>
      </c>
      <c r="D15" s="157">
        <f t="shared" si="2"/>
        <v>1361</v>
      </c>
      <c r="E15" s="207">
        <f t="shared" si="3"/>
        <v>21</v>
      </c>
      <c r="F15" s="207">
        <f t="shared" si="4"/>
        <v>180</v>
      </c>
      <c r="G15" s="207">
        <f t="shared" si="5"/>
        <v>28</v>
      </c>
      <c r="H15" s="207">
        <f t="shared" si="6"/>
        <v>12</v>
      </c>
      <c r="I15" s="207">
        <v>21</v>
      </c>
      <c r="J15" s="207">
        <v>180</v>
      </c>
      <c r="K15" s="207">
        <v>28</v>
      </c>
      <c r="L15" s="207">
        <v>12</v>
      </c>
      <c r="M15" s="207"/>
      <c r="N15" s="207"/>
      <c r="O15" s="207"/>
      <c r="P15" s="207"/>
      <c r="Q15" s="207">
        <f t="shared" si="7"/>
        <v>63</v>
      </c>
      <c r="R15" s="207">
        <f t="shared" si="8"/>
        <v>1181</v>
      </c>
      <c r="S15" s="207">
        <f t="shared" si="9"/>
        <v>90</v>
      </c>
      <c r="T15" s="207">
        <f t="shared" si="10"/>
        <v>54</v>
      </c>
      <c r="U15" s="207">
        <v>63</v>
      </c>
      <c r="V15" s="207">
        <v>1181</v>
      </c>
      <c r="W15" s="207">
        <v>90</v>
      </c>
      <c r="X15" s="207">
        <v>54</v>
      </c>
      <c r="Y15" s="207"/>
      <c r="Z15" s="207"/>
      <c r="AA15" s="207"/>
      <c r="AB15" s="207"/>
      <c r="AC15" s="208"/>
    </row>
    <row r="16" spans="1:29" s="209" customFormat="1" ht="15" customHeight="1">
      <c r="A16" s="200">
        <v>6</v>
      </c>
      <c r="B16" s="206" t="s">
        <v>17</v>
      </c>
      <c r="C16" s="157">
        <f t="shared" si="1"/>
        <v>64</v>
      </c>
      <c r="D16" s="157">
        <f t="shared" si="2"/>
        <v>1528</v>
      </c>
      <c r="E16" s="207">
        <f t="shared" si="3"/>
        <v>1</v>
      </c>
      <c r="F16" s="207">
        <f t="shared" si="4"/>
        <v>15</v>
      </c>
      <c r="G16" s="207">
        <f t="shared" si="5"/>
        <v>2</v>
      </c>
      <c r="H16" s="207">
        <f t="shared" si="6"/>
        <v>2</v>
      </c>
      <c r="I16" s="207">
        <v>1</v>
      </c>
      <c r="J16" s="207">
        <v>15</v>
      </c>
      <c r="K16" s="207">
        <v>2</v>
      </c>
      <c r="L16" s="207">
        <v>2</v>
      </c>
      <c r="M16" s="207"/>
      <c r="N16" s="207"/>
      <c r="O16" s="207"/>
      <c r="P16" s="207"/>
      <c r="Q16" s="207">
        <f t="shared" si="7"/>
        <v>63</v>
      </c>
      <c r="R16" s="207">
        <f t="shared" si="8"/>
        <v>1513</v>
      </c>
      <c r="S16" s="207">
        <f t="shared" si="9"/>
        <v>96</v>
      </c>
      <c r="T16" s="207">
        <f t="shared" si="10"/>
        <v>60</v>
      </c>
      <c r="U16" s="207">
        <v>63</v>
      </c>
      <c r="V16" s="207">
        <v>1513</v>
      </c>
      <c r="W16" s="207">
        <v>96</v>
      </c>
      <c r="X16" s="207">
        <v>60</v>
      </c>
      <c r="Y16" s="207"/>
      <c r="Z16" s="207"/>
      <c r="AA16" s="207"/>
      <c r="AB16" s="207"/>
      <c r="AC16" s="208"/>
    </row>
    <row r="17" spans="1:29" s="209" customFormat="1" ht="16.5" customHeight="1" thickBot="1">
      <c r="A17" s="210">
        <v>7</v>
      </c>
      <c r="B17" s="211" t="s">
        <v>18</v>
      </c>
      <c r="C17" s="212">
        <f t="shared" si="1"/>
        <v>135</v>
      </c>
      <c r="D17" s="212">
        <f t="shared" si="2"/>
        <v>3337</v>
      </c>
      <c r="E17" s="213">
        <f t="shared" si="3"/>
        <v>37</v>
      </c>
      <c r="F17" s="213">
        <f t="shared" si="4"/>
        <v>1040</v>
      </c>
      <c r="G17" s="213">
        <f t="shared" si="5"/>
        <v>22</v>
      </c>
      <c r="H17" s="213">
        <f t="shared" si="6"/>
        <v>31</v>
      </c>
      <c r="I17" s="213">
        <v>8</v>
      </c>
      <c r="J17" s="213">
        <v>242</v>
      </c>
      <c r="K17" s="213">
        <v>22</v>
      </c>
      <c r="L17" s="213">
        <v>31</v>
      </c>
      <c r="M17" s="213">
        <f>4+15+10</f>
        <v>29</v>
      </c>
      <c r="N17" s="213">
        <f>109+415+274</f>
        <v>798</v>
      </c>
      <c r="O17" s="213"/>
      <c r="P17" s="213"/>
      <c r="Q17" s="213">
        <f t="shared" si="7"/>
        <v>98</v>
      </c>
      <c r="R17" s="213">
        <f t="shared" si="8"/>
        <v>2297</v>
      </c>
      <c r="S17" s="213">
        <f t="shared" si="9"/>
        <v>80</v>
      </c>
      <c r="T17" s="213">
        <f t="shared" si="10"/>
        <v>75</v>
      </c>
      <c r="U17" s="213">
        <f>106-8</f>
        <v>98</v>
      </c>
      <c r="V17" s="213">
        <f>2539-242</f>
        <v>2297</v>
      </c>
      <c r="W17" s="213">
        <v>80</v>
      </c>
      <c r="X17" s="213">
        <v>75</v>
      </c>
      <c r="Y17" s="213"/>
      <c r="Z17" s="213"/>
      <c r="AA17" s="213"/>
      <c r="AB17" s="213"/>
      <c r="AC17" s="214"/>
    </row>
    <row r="18" spans="1:26" s="45" customFormat="1" ht="16.5" customHeight="1" thickBot="1">
      <c r="A18" s="136"/>
      <c r="B18" s="137"/>
      <c r="L18" s="388" t="s">
        <v>220</v>
      </c>
      <c r="M18" s="389"/>
      <c r="N18" s="389"/>
      <c r="O18" s="390"/>
      <c r="P18" s="367" t="s">
        <v>218</v>
      </c>
      <c r="Q18" s="368"/>
      <c r="R18" s="368"/>
      <c r="S18" s="368"/>
      <c r="T18" s="368"/>
      <c r="U18" s="369"/>
      <c r="V18" s="367" t="s">
        <v>219</v>
      </c>
      <c r="W18" s="368"/>
      <c r="X18" s="368"/>
      <c r="Y18" s="369"/>
      <c r="Z18" s="332"/>
    </row>
    <row r="19" spans="1:26" s="8" customFormat="1" ht="15.75" customHeight="1">
      <c r="A19" s="351" t="s">
        <v>0</v>
      </c>
      <c r="B19" s="364" t="s">
        <v>1</v>
      </c>
      <c r="C19" s="348" t="s">
        <v>167</v>
      </c>
      <c r="D19" s="343"/>
      <c r="E19" s="344"/>
      <c r="F19" s="346" t="s">
        <v>64</v>
      </c>
      <c r="G19" s="347"/>
      <c r="H19" s="346" t="s">
        <v>22</v>
      </c>
      <c r="I19" s="347"/>
      <c r="J19" s="374" t="s">
        <v>138</v>
      </c>
      <c r="K19" s="375"/>
      <c r="L19" s="391"/>
      <c r="M19" s="392"/>
      <c r="N19" s="392"/>
      <c r="O19" s="393"/>
      <c r="P19" s="396" t="s">
        <v>186</v>
      </c>
      <c r="Q19" s="397"/>
      <c r="R19" s="394" t="s">
        <v>187</v>
      </c>
      <c r="S19" s="397"/>
      <c r="T19" s="394" t="s">
        <v>196</v>
      </c>
      <c r="U19" s="395"/>
      <c r="V19" s="396" t="s">
        <v>202</v>
      </c>
      <c r="W19" s="397"/>
      <c r="X19" s="394" t="s">
        <v>197</v>
      </c>
      <c r="Y19" s="395"/>
      <c r="Z19" s="323"/>
    </row>
    <row r="20" spans="1:26" s="8" customFormat="1" ht="36.75" customHeight="1" thickBot="1">
      <c r="A20" s="345"/>
      <c r="B20" s="366"/>
      <c r="C20" s="146" t="s">
        <v>137</v>
      </c>
      <c r="D20" s="146" t="s">
        <v>87</v>
      </c>
      <c r="E20" s="146" t="s">
        <v>130</v>
      </c>
      <c r="F20" s="146" t="s">
        <v>87</v>
      </c>
      <c r="G20" s="146" t="s">
        <v>130</v>
      </c>
      <c r="H20" s="146" t="s">
        <v>87</v>
      </c>
      <c r="I20" s="146" t="s">
        <v>130</v>
      </c>
      <c r="J20" s="376"/>
      <c r="K20" s="377"/>
      <c r="L20" s="164" t="s">
        <v>164</v>
      </c>
      <c r="M20" s="165" t="s">
        <v>163</v>
      </c>
      <c r="N20" s="165" t="s">
        <v>165</v>
      </c>
      <c r="O20" s="166" t="s">
        <v>162</v>
      </c>
      <c r="P20" s="153" t="s">
        <v>194</v>
      </c>
      <c r="Q20" s="147" t="s">
        <v>195</v>
      </c>
      <c r="R20" s="147" t="s">
        <v>194</v>
      </c>
      <c r="S20" s="147" t="s">
        <v>195</v>
      </c>
      <c r="T20" s="147" t="s">
        <v>194</v>
      </c>
      <c r="U20" s="148" t="s">
        <v>195</v>
      </c>
      <c r="V20" s="153" t="s">
        <v>194</v>
      </c>
      <c r="W20" s="152" t="s">
        <v>195</v>
      </c>
      <c r="X20" s="147" t="s">
        <v>194</v>
      </c>
      <c r="Y20" s="148" t="s">
        <v>195</v>
      </c>
      <c r="Z20" s="333" t="s">
        <v>195</v>
      </c>
    </row>
    <row r="21" spans="1:26" s="215" customFormat="1" ht="18.75">
      <c r="A21" s="221">
        <v>1</v>
      </c>
      <c r="B21" s="288" t="s">
        <v>12</v>
      </c>
      <c r="C21" s="289">
        <f>E21+D21</f>
        <v>12</v>
      </c>
      <c r="D21" s="290">
        <f>F21+H21</f>
        <v>11</v>
      </c>
      <c r="E21" s="290">
        <f>G21+I21</f>
        <v>1</v>
      </c>
      <c r="F21" s="290">
        <v>2</v>
      </c>
      <c r="G21" s="290"/>
      <c r="H21" s="290">
        <v>9</v>
      </c>
      <c r="I21" s="290">
        <v>1</v>
      </c>
      <c r="J21" s="342">
        <v>1</v>
      </c>
      <c r="K21" s="357"/>
      <c r="L21" s="291">
        <f>52+24+66</f>
        <v>142</v>
      </c>
      <c r="M21" s="290">
        <v>40</v>
      </c>
      <c r="N21" s="290">
        <v>15</v>
      </c>
      <c r="O21" s="292">
        <v>11</v>
      </c>
      <c r="P21" s="308">
        <f>23+29+1+80+2+6</f>
        <v>141</v>
      </c>
      <c r="Q21" s="309">
        <f aca="true" t="shared" si="11" ref="Q21:Q28">P21/($P21+$T21)</f>
        <v>0.9337748344370861</v>
      </c>
      <c r="R21" s="310">
        <f>23+30</f>
        <v>53</v>
      </c>
      <c r="S21" s="309">
        <f aca="true" t="shared" si="12" ref="S21:S28">R21/($P21+$T21)</f>
        <v>0.3509933774834437</v>
      </c>
      <c r="T21" s="310">
        <f>8+2</f>
        <v>10</v>
      </c>
      <c r="U21" s="311">
        <f aca="true" t="shared" si="13" ref="U21:U28">T21/($P21+$T21)</f>
        <v>0.06622516556291391</v>
      </c>
      <c r="V21" s="291">
        <v>1799</v>
      </c>
      <c r="W21" s="327">
        <f>V21/2000</f>
        <v>0.8995</v>
      </c>
      <c r="X21" s="290">
        <v>2100</v>
      </c>
      <c r="Y21" s="337">
        <f>X21/D11</f>
        <v>0.7879924953095685</v>
      </c>
      <c r="Z21" s="334">
        <f aca="true" t="shared" si="14" ref="Z21:Z27">Y21/D11</f>
        <v>0.0002956819869829525</v>
      </c>
    </row>
    <row r="22" spans="1:26" s="215" customFormat="1" ht="18.75">
      <c r="A22" s="138">
        <v>2</v>
      </c>
      <c r="B22" s="7" t="s">
        <v>13</v>
      </c>
      <c r="C22" s="216">
        <f aca="true" t="shared" si="15" ref="C22:C27">E22+D22</f>
        <v>7</v>
      </c>
      <c r="D22" s="6">
        <f>F22+H22</f>
        <v>7</v>
      </c>
      <c r="E22" s="6">
        <f>G22+I22</f>
        <v>0</v>
      </c>
      <c r="F22" s="6">
        <v>2</v>
      </c>
      <c r="G22" s="6"/>
      <c r="H22" s="6">
        <v>5</v>
      </c>
      <c r="I22" s="6"/>
      <c r="J22" s="354"/>
      <c r="K22" s="355"/>
      <c r="L22" s="122">
        <f>12+8+28</f>
        <v>48</v>
      </c>
      <c r="M22" s="6">
        <v>24</v>
      </c>
      <c r="N22" s="6">
        <v>8</v>
      </c>
      <c r="O22" s="149">
        <v>10</v>
      </c>
      <c r="P22" s="312">
        <f>2+10+27+23</f>
        <v>62</v>
      </c>
      <c r="Q22" s="322">
        <f t="shared" si="11"/>
        <v>1</v>
      </c>
      <c r="R22" s="314">
        <v>21</v>
      </c>
      <c r="S22" s="313">
        <f t="shared" si="12"/>
        <v>0.3387096774193548</v>
      </c>
      <c r="T22" s="314">
        <v>0</v>
      </c>
      <c r="U22" s="315">
        <f t="shared" si="13"/>
        <v>0</v>
      </c>
      <c r="V22" s="122">
        <v>310</v>
      </c>
      <c r="W22" s="328">
        <f>V22/315</f>
        <v>0.9841269841269841</v>
      </c>
      <c r="X22" s="6">
        <f>660</f>
        <v>660</v>
      </c>
      <c r="Y22" s="337">
        <f aca="true" t="shared" si="16" ref="Y22:Y27">X22/D12</f>
        <v>0.6783144912641316</v>
      </c>
      <c r="Z22" s="334">
        <f t="shared" si="14"/>
        <v>0.0006971371955438146</v>
      </c>
    </row>
    <row r="23" spans="1:26" s="215" customFormat="1" ht="18.75">
      <c r="A23" s="138">
        <v>3</v>
      </c>
      <c r="B23" s="7" t="s">
        <v>14</v>
      </c>
      <c r="C23" s="216">
        <f t="shared" si="15"/>
        <v>29</v>
      </c>
      <c r="D23" s="6">
        <v>16</v>
      </c>
      <c r="E23" s="6">
        <f>G23+I23</f>
        <v>13</v>
      </c>
      <c r="F23" s="6">
        <v>2</v>
      </c>
      <c r="G23" s="6">
        <v>5</v>
      </c>
      <c r="H23" s="6">
        <v>14</v>
      </c>
      <c r="I23" s="6">
        <v>8</v>
      </c>
      <c r="J23" s="354">
        <v>1</v>
      </c>
      <c r="K23" s="355"/>
      <c r="L23" s="122">
        <f>7+25+5</f>
        <v>37</v>
      </c>
      <c r="M23" s="6">
        <v>9</v>
      </c>
      <c r="N23" s="6">
        <v>16</v>
      </c>
      <c r="O23" s="149">
        <v>14</v>
      </c>
      <c r="P23" s="312">
        <f>30+3+28+26+75+52</f>
        <v>214</v>
      </c>
      <c r="Q23" s="313">
        <f t="shared" si="11"/>
        <v>0.6045197740112994</v>
      </c>
      <c r="R23" s="314">
        <f>9+24+3+24+4+26</f>
        <v>90</v>
      </c>
      <c r="S23" s="313">
        <f t="shared" si="12"/>
        <v>0.2542372881355932</v>
      </c>
      <c r="T23" s="314">
        <f>74+5+61</f>
        <v>140</v>
      </c>
      <c r="U23" s="315">
        <f t="shared" si="13"/>
        <v>0.3954802259887006</v>
      </c>
      <c r="V23" s="122">
        <f>2326+102</f>
        <v>2428</v>
      </c>
      <c r="W23" s="328">
        <f>V23/2450</f>
        <v>0.9910204081632653</v>
      </c>
      <c r="X23" s="6">
        <f>121+65+458+1494+15+530+1324+1128</f>
        <v>5135</v>
      </c>
      <c r="Y23" s="337">
        <f t="shared" si="16"/>
        <v>0.7291962510650384</v>
      </c>
      <c r="Z23" s="334">
        <f t="shared" si="14"/>
        <v>0.00010354959543667117</v>
      </c>
    </row>
    <row r="24" spans="1:26" s="215" customFormat="1" ht="18.75">
      <c r="A24" s="138">
        <v>4</v>
      </c>
      <c r="B24" s="7" t="s">
        <v>15</v>
      </c>
      <c r="C24" s="216">
        <f t="shared" si="15"/>
        <v>11</v>
      </c>
      <c r="D24" s="6">
        <f aca="true" t="shared" si="17" ref="D24:E27">F24+H24</f>
        <v>9</v>
      </c>
      <c r="E24" s="6">
        <f t="shared" si="17"/>
        <v>2</v>
      </c>
      <c r="F24" s="6">
        <v>1</v>
      </c>
      <c r="G24" s="6">
        <v>2</v>
      </c>
      <c r="H24" s="6">
        <v>8</v>
      </c>
      <c r="I24" s="6"/>
      <c r="J24" s="354"/>
      <c r="K24" s="355"/>
      <c r="L24" s="122">
        <v>26</v>
      </c>
      <c r="M24" s="6">
        <v>18</v>
      </c>
      <c r="N24" s="6">
        <v>9</v>
      </c>
      <c r="O24" s="149">
        <v>9</v>
      </c>
      <c r="P24" s="312">
        <f>G14+S14-T24</f>
        <v>169</v>
      </c>
      <c r="Q24" s="313">
        <f t="shared" si="11"/>
        <v>0.8325123152709359</v>
      </c>
      <c r="R24" s="314">
        <f>31+17</f>
        <v>48</v>
      </c>
      <c r="S24" s="313">
        <f t="shared" si="12"/>
        <v>0.23645320197044334</v>
      </c>
      <c r="T24" s="314">
        <v>34</v>
      </c>
      <c r="U24" s="315">
        <f t="shared" si="13"/>
        <v>0.16748768472906403</v>
      </c>
      <c r="V24" s="122">
        <f>279+984</f>
        <v>1263</v>
      </c>
      <c r="W24" s="328">
        <f>V24/1285</f>
        <v>0.9828793774319066</v>
      </c>
      <c r="X24" s="6">
        <f>264+2052</f>
        <v>2316</v>
      </c>
      <c r="Y24" s="337">
        <f t="shared" si="16"/>
        <v>0.6156299840510366</v>
      </c>
      <c r="Z24" s="334">
        <f t="shared" si="14"/>
        <v>0.0001636443338785318</v>
      </c>
    </row>
    <row r="25" spans="1:26" s="215" customFormat="1" ht="18.75">
      <c r="A25" s="138">
        <v>5</v>
      </c>
      <c r="B25" s="7" t="s">
        <v>16</v>
      </c>
      <c r="C25" s="216">
        <f t="shared" si="15"/>
        <v>11</v>
      </c>
      <c r="D25" s="6">
        <f t="shared" si="17"/>
        <v>11</v>
      </c>
      <c r="E25" s="6">
        <f t="shared" si="17"/>
        <v>0</v>
      </c>
      <c r="F25" s="6">
        <v>2</v>
      </c>
      <c r="G25" s="6"/>
      <c r="H25" s="6">
        <v>9</v>
      </c>
      <c r="I25" s="6"/>
      <c r="J25" s="354"/>
      <c r="K25" s="355"/>
      <c r="L25" s="122">
        <f>25+6</f>
        <v>31</v>
      </c>
      <c r="M25" s="6">
        <v>14</v>
      </c>
      <c r="N25" s="6">
        <v>10</v>
      </c>
      <c r="O25" s="149">
        <v>11</v>
      </c>
      <c r="P25" s="312">
        <f>6+6+29+54</f>
        <v>95</v>
      </c>
      <c r="Q25" s="322">
        <f t="shared" si="11"/>
        <v>1</v>
      </c>
      <c r="R25" s="314">
        <f>3+6+29</f>
        <v>38</v>
      </c>
      <c r="S25" s="313">
        <f t="shared" si="12"/>
        <v>0.4</v>
      </c>
      <c r="T25" s="314">
        <v>0</v>
      </c>
      <c r="U25" s="315">
        <f t="shared" si="13"/>
        <v>0</v>
      </c>
      <c r="V25" s="122">
        <v>448</v>
      </c>
      <c r="W25" s="324">
        <f>V25/450</f>
        <v>0.9955555555555555</v>
      </c>
      <c r="X25" s="6">
        <v>1150</v>
      </c>
      <c r="Y25" s="337">
        <f t="shared" si="16"/>
        <v>0.8449669360764144</v>
      </c>
      <c r="Z25" s="334">
        <f t="shared" si="14"/>
        <v>0.0006208427157064029</v>
      </c>
    </row>
    <row r="26" spans="1:26" s="215" customFormat="1" ht="18.75">
      <c r="A26" s="138">
        <v>6</v>
      </c>
      <c r="B26" s="7" t="s">
        <v>17</v>
      </c>
      <c r="C26" s="216">
        <f t="shared" si="15"/>
        <v>6</v>
      </c>
      <c r="D26" s="6">
        <f t="shared" si="17"/>
        <v>6</v>
      </c>
      <c r="E26" s="6">
        <f t="shared" si="17"/>
        <v>0</v>
      </c>
      <c r="F26" s="6"/>
      <c r="G26" s="6"/>
      <c r="H26" s="6">
        <v>6</v>
      </c>
      <c r="I26" s="6"/>
      <c r="J26" s="354"/>
      <c r="K26" s="355"/>
      <c r="L26" s="217">
        <f>14+14</f>
        <v>28</v>
      </c>
      <c r="M26" s="218">
        <v>36</v>
      </c>
      <c r="N26" s="218">
        <v>8</v>
      </c>
      <c r="O26" s="219">
        <v>8</v>
      </c>
      <c r="P26" s="316">
        <v>92</v>
      </c>
      <c r="Q26" s="322">
        <f t="shared" si="11"/>
        <v>1</v>
      </c>
      <c r="R26" s="317">
        <f>76</f>
        <v>76</v>
      </c>
      <c r="S26" s="313">
        <f t="shared" si="12"/>
        <v>0.8260869565217391</v>
      </c>
      <c r="T26" s="317">
        <f>0</f>
        <v>0</v>
      </c>
      <c r="U26" s="315">
        <f t="shared" si="13"/>
        <v>0</v>
      </c>
      <c r="V26" s="336">
        <v>849</v>
      </c>
      <c r="W26" s="325">
        <f>V26/850</f>
        <v>0.9988235294117647</v>
      </c>
      <c r="X26" s="218">
        <v>1252</v>
      </c>
      <c r="Y26" s="337">
        <f t="shared" si="16"/>
        <v>0.819371727748691</v>
      </c>
      <c r="Z26" s="334">
        <f t="shared" si="14"/>
        <v>0.0005362380417203475</v>
      </c>
    </row>
    <row r="27" spans="1:26" s="215" customFormat="1" ht="19.5" thickBot="1">
      <c r="A27" s="143">
        <v>7</v>
      </c>
      <c r="B27" s="144" t="s">
        <v>18</v>
      </c>
      <c r="C27" s="220">
        <f t="shared" si="15"/>
        <v>13</v>
      </c>
      <c r="D27" s="140">
        <f t="shared" si="17"/>
        <v>12</v>
      </c>
      <c r="E27" s="140">
        <f t="shared" si="17"/>
        <v>1</v>
      </c>
      <c r="F27" s="140">
        <v>1</v>
      </c>
      <c r="G27" s="140">
        <v>1</v>
      </c>
      <c r="H27" s="140">
        <v>11</v>
      </c>
      <c r="I27" s="140"/>
      <c r="J27" s="349"/>
      <c r="K27" s="350"/>
      <c r="L27" s="139">
        <v>63</v>
      </c>
      <c r="M27" s="140">
        <v>42</v>
      </c>
      <c r="N27" s="140">
        <v>8</v>
      </c>
      <c r="O27" s="150">
        <v>12</v>
      </c>
      <c r="P27" s="318">
        <f>5+31+32+5+45+6</f>
        <v>124</v>
      </c>
      <c r="Q27" s="319">
        <f t="shared" si="11"/>
        <v>0.8211920529801324</v>
      </c>
      <c r="R27" s="320">
        <f>31+32+5+1</f>
        <v>69</v>
      </c>
      <c r="S27" s="319">
        <f t="shared" si="12"/>
        <v>0.45695364238410596</v>
      </c>
      <c r="T27" s="320">
        <f>20+7</f>
        <v>27</v>
      </c>
      <c r="U27" s="321">
        <f t="shared" si="13"/>
        <v>0.17880794701986755</v>
      </c>
      <c r="V27" s="139">
        <f>1445+64</f>
        <v>1509</v>
      </c>
      <c r="W27" s="326">
        <f>V27/1510</f>
        <v>0.9993377483443708</v>
      </c>
      <c r="X27" s="140">
        <f>206+1350+844</f>
        <v>2400</v>
      </c>
      <c r="Y27" s="337">
        <f t="shared" si="16"/>
        <v>0.719208870242733</v>
      </c>
      <c r="Z27" s="334">
        <f t="shared" si="14"/>
        <v>0.00021552558293159513</v>
      </c>
    </row>
    <row r="28" spans="1:26" ht="19.5" thickBot="1">
      <c r="A28" s="378" t="s">
        <v>65</v>
      </c>
      <c r="B28" s="379"/>
      <c r="C28" s="145">
        <f>E28+D28</f>
        <v>89</v>
      </c>
      <c r="D28" s="145">
        <f aca="true" t="shared" si="18" ref="D28:J28">SUM(D21:D27)</f>
        <v>72</v>
      </c>
      <c r="E28" s="145">
        <f t="shared" si="18"/>
        <v>17</v>
      </c>
      <c r="F28" s="145">
        <f t="shared" si="18"/>
        <v>10</v>
      </c>
      <c r="G28" s="145">
        <f t="shared" si="18"/>
        <v>8</v>
      </c>
      <c r="H28" s="145">
        <f t="shared" si="18"/>
        <v>62</v>
      </c>
      <c r="I28" s="145">
        <f t="shared" si="18"/>
        <v>9</v>
      </c>
      <c r="J28" s="356">
        <f t="shared" si="18"/>
        <v>2</v>
      </c>
      <c r="K28" s="352"/>
      <c r="L28" s="141">
        <f>SUM(L21:L27)</f>
        <v>375</v>
      </c>
      <c r="M28" s="134">
        <f>SUM(M21:M27)</f>
        <v>183</v>
      </c>
      <c r="N28" s="134">
        <f>SUM(N21:N27)</f>
        <v>74</v>
      </c>
      <c r="O28" s="151">
        <f>SUM(O21:O27)</f>
        <v>75</v>
      </c>
      <c r="P28" s="141">
        <f>SUM(P21:P27)</f>
        <v>897</v>
      </c>
      <c r="Q28" s="142">
        <f t="shared" si="11"/>
        <v>0.8095667870036101</v>
      </c>
      <c r="R28" s="134">
        <f>SUM(R21:R27)</f>
        <v>395</v>
      </c>
      <c r="S28" s="142">
        <f t="shared" si="12"/>
        <v>0.3564981949458484</v>
      </c>
      <c r="T28" s="134">
        <f>SUM(T21:T27)</f>
        <v>211</v>
      </c>
      <c r="U28" s="154">
        <f t="shared" si="13"/>
        <v>0.19043321299638988</v>
      </c>
      <c r="V28" s="141">
        <f>SUM(V21:V27)</f>
        <v>8606</v>
      </c>
      <c r="W28" s="329">
        <f>V28/8860</f>
        <v>0.9713318284424379</v>
      </c>
      <c r="X28" s="134">
        <f>SUM(X21:X27)</f>
        <v>15013</v>
      </c>
      <c r="Y28" s="167">
        <f>X28/D10</f>
        <v>0.7263886200890265</v>
      </c>
      <c r="Z28" s="335">
        <f>Y28/D10</f>
        <v>3.514556899985613E-05</v>
      </c>
    </row>
    <row r="29" ht="18.75">
      <c r="V29" s="18" t="s">
        <v>259</v>
      </c>
    </row>
    <row r="30" spans="5:22" ht="18.75">
      <c r="E30" s="27" t="s">
        <v>85</v>
      </c>
      <c r="V30" s="26" t="s">
        <v>66</v>
      </c>
    </row>
    <row r="31" ht="18.75">
      <c r="V31" s="26" t="s">
        <v>88</v>
      </c>
    </row>
    <row r="32" ht="18.75">
      <c r="V32" s="26"/>
    </row>
    <row r="33" ht="18.75">
      <c r="V33" s="26"/>
    </row>
    <row r="36" spans="5:22" ht="18.75">
      <c r="E36" s="18" t="s">
        <v>86</v>
      </c>
      <c r="V36" s="17" t="s">
        <v>89</v>
      </c>
    </row>
  </sheetData>
  <mergeCells count="38">
    <mergeCell ref="L18:O19"/>
    <mergeCell ref="X19:Y19"/>
    <mergeCell ref="V19:W19"/>
    <mergeCell ref="P19:Q19"/>
    <mergeCell ref="R19:S19"/>
    <mergeCell ref="T19:U19"/>
    <mergeCell ref="P18:U18"/>
    <mergeCell ref="A28:B28"/>
    <mergeCell ref="A5:A8"/>
    <mergeCell ref="U6:AC6"/>
    <mergeCell ref="Q6:T7"/>
    <mergeCell ref="U7:X7"/>
    <mergeCell ref="Y7:AC7"/>
    <mergeCell ref="E5:P5"/>
    <mergeCell ref="Q5:AC5"/>
    <mergeCell ref="I6:P6"/>
    <mergeCell ref="E6:H7"/>
    <mergeCell ref="J21:K21"/>
    <mergeCell ref="I7:L7"/>
    <mergeCell ref="B1:I2"/>
    <mergeCell ref="J1:AC3"/>
    <mergeCell ref="B5:B8"/>
    <mergeCell ref="M7:P7"/>
    <mergeCell ref="B19:B20"/>
    <mergeCell ref="V18:Y18"/>
    <mergeCell ref="C5:D7"/>
    <mergeCell ref="J19:K20"/>
    <mergeCell ref="A19:A20"/>
    <mergeCell ref="F19:G19"/>
    <mergeCell ref="H19:I19"/>
    <mergeCell ref="C19:E19"/>
    <mergeCell ref="J22:K22"/>
    <mergeCell ref="J23:K23"/>
    <mergeCell ref="J24:K24"/>
    <mergeCell ref="J28:K28"/>
    <mergeCell ref="J25:K25"/>
    <mergeCell ref="J26:K26"/>
    <mergeCell ref="J27:K27"/>
  </mergeCells>
  <printOptions horizontalCentered="1"/>
  <pageMargins left="0" right="0" top="0.03937007874015748" bottom="0" header="0.5118110236220472" footer="0.5118110236220472"/>
  <pageSetup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47"/>
  <sheetViews>
    <sheetView workbookViewId="0" topLeftCell="A1">
      <pane xSplit="2" ySplit="18" topLeftCell="C31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D15" sqref="D15"/>
    </sheetView>
  </sheetViews>
  <sheetFormatPr defaultColWidth="8.88671875" defaultRowHeight="18.75"/>
  <cols>
    <col min="1" max="1" width="2.3359375" style="9" bestFit="1" customWidth="1"/>
    <col min="2" max="2" width="10.5546875" style="9" customWidth="1"/>
    <col min="3" max="3" width="4.10546875" style="9" customWidth="1"/>
    <col min="4" max="4" width="3.88671875" style="9" customWidth="1"/>
    <col min="5" max="5" width="5.88671875" style="9" customWidth="1"/>
    <col min="6" max="6" width="5.6640625" style="9" customWidth="1"/>
    <col min="7" max="7" width="5.4453125" style="9" customWidth="1"/>
    <col min="8" max="8" width="5.3359375" style="9" customWidth="1"/>
    <col min="9" max="9" width="5.88671875" style="9" customWidth="1"/>
    <col min="10" max="10" width="5.10546875" style="9" customWidth="1"/>
    <col min="11" max="12" width="5.4453125" style="9" customWidth="1"/>
    <col min="13" max="13" width="5.6640625" style="9" customWidth="1"/>
    <col min="14" max="14" width="5.10546875" style="9" customWidth="1"/>
    <col min="15" max="15" width="5.5546875" style="9" customWidth="1"/>
    <col min="16" max="16" width="4.99609375" style="9" customWidth="1"/>
    <col min="17" max="17" width="4.6640625" style="9" customWidth="1"/>
    <col min="18" max="18" width="5.4453125" style="9" customWidth="1"/>
    <col min="19" max="19" width="4.99609375" style="9" customWidth="1"/>
    <col min="20" max="20" width="4.21484375" style="9" customWidth="1"/>
    <col min="21" max="22" width="4.4453125" style="9" customWidth="1"/>
    <col min="23" max="23" width="3.88671875" style="9" customWidth="1"/>
    <col min="24" max="24" width="4.99609375" style="9" bestFit="1" customWidth="1"/>
    <col min="25" max="25" width="5.10546875" style="9" bestFit="1" customWidth="1"/>
    <col min="26" max="26" width="4.10546875" style="9" customWidth="1"/>
    <col min="27" max="27" width="4.3359375" style="9" customWidth="1"/>
    <col min="28" max="28" width="4.6640625" style="9" customWidth="1"/>
    <col min="29" max="16384" width="8.88671875" style="9" customWidth="1"/>
  </cols>
  <sheetData>
    <row r="1" spans="1:28" ht="18.75">
      <c r="A1" s="419" t="s">
        <v>23</v>
      </c>
      <c r="B1" s="419"/>
      <c r="C1" s="419"/>
      <c r="D1" s="419"/>
      <c r="E1" s="419"/>
      <c r="F1" s="419"/>
      <c r="G1" s="419"/>
      <c r="M1" s="5"/>
      <c r="N1" s="5"/>
      <c r="P1" s="21" t="s">
        <v>50</v>
      </c>
      <c r="Q1" s="2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75">
      <c r="A2" s="420" t="s">
        <v>24</v>
      </c>
      <c r="B2" s="420"/>
      <c r="C2" s="420"/>
      <c r="D2" s="420"/>
      <c r="E2" s="420"/>
      <c r="F2" s="420"/>
      <c r="G2" s="420"/>
      <c r="M2" s="17"/>
      <c r="N2" s="17"/>
      <c r="P2" s="17" t="s">
        <v>143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2:28" ht="15.7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 t="s">
        <v>146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8.75" customHeight="1">
      <c r="A4" s="421" t="s">
        <v>0</v>
      </c>
      <c r="B4" s="422" t="s">
        <v>41</v>
      </c>
      <c r="C4" s="415" t="s">
        <v>139</v>
      </c>
      <c r="D4" s="415" t="s">
        <v>167</v>
      </c>
      <c r="E4" s="409" t="s">
        <v>28</v>
      </c>
      <c r="F4" s="411"/>
      <c r="G4" s="394" t="s">
        <v>25</v>
      </c>
      <c r="H4" s="418"/>
      <c r="I4" s="418"/>
      <c r="J4" s="418"/>
      <c r="K4" s="418"/>
      <c r="L4" s="418"/>
      <c r="M4" s="418"/>
      <c r="N4" s="418"/>
      <c r="O4" s="418"/>
      <c r="P4" s="397"/>
      <c r="Q4" s="402" t="s">
        <v>180</v>
      </c>
      <c r="R4" s="405" t="s">
        <v>256</v>
      </c>
      <c r="S4" s="406"/>
      <c r="T4" s="409" t="s">
        <v>161</v>
      </c>
      <c r="U4" s="410"/>
      <c r="V4" s="410"/>
      <c r="W4" s="411"/>
      <c r="X4" s="401" t="s">
        <v>26</v>
      </c>
      <c r="Y4" s="401"/>
      <c r="Z4" s="394" t="s">
        <v>160</v>
      </c>
      <c r="AA4" s="397"/>
      <c r="AB4" s="415" t="s">
        <v>27</v>
      </c>
    </row>
    <row r="5" spans="1:28" ht="20.25" customHeight="1">
      <c r="A5" s="403"/>
      <c r="B5" s="422"/>
      <c r="C5" s="416"/>
      <c r="D5" s="416"/>
      <c r="E5" s="412"/>
      <c r="F5" s="414"/>
      <c r="G5" s="394" t="s">
        <v>42</v>
      </c>
      <c r="H5" s="397"/>
      <c r="I5" s="394" t="s">
        <v>43</v>
      </c>
      <c r="J5" s="397"/>
      <c r="K5" s="394" t="s">
        <v>44</v>
      </c>
      <c r="L5" s="397"/>
      <c r="M5" s="394" t="s">
        <v>45</v>
      </c>
      <c r="N5" s="397"/>
      <c r="O5" s="394" t="s">
        <v>46</v>
      </c>
      <c r="P5" s="397"/>
      <c r="Q5" s="403"/>
      <c r="R5" s="407"/>
      <c r="S5" s="408"/>
      <c r="T5" s="412"/>
      <c r="U5" s="413"/>
      <c r="V5" s="413"/>
      <c r="W5" s="414"/>
      <c r="X5" s="401" t="s">
        <v>34</v>
      </c>
      <c r="Y5" s="401" t="s">
        <v>33</v>
      </c>
      <c r="Z5" s="401" t="s">
        <v>34</v>
      </c>
      <c r="AA5" s="401" t="s">
        <v>33</v>
      </c>
      <c r="AB5" s="416"/>
    </row>
    <row r="6" spans="1:28" ht="38.25">
      <c r="A6" s="404"/>
      <c r="B6" s="422"/>
      <c r="C6" s="417"/>
      <c r="D6" s="417"/>
      <c r="E6" s="11" t="s">
        <v>35</v>
      </c>
      <c r="F6" s="12" t="s">
        <v>36</v>
      </c>
      <c r="G6" s="11" t="s">
        <v>35</v>
      </c>
      <c r="H6" s="12" t="s">
        <v>36</v>
      </c>
      <c r="I6" s="11" t="s">
        <v>35</v>
      </c>
      <c r="J6" s="12" t="s">
        <v>36</v>
      </c>
      <c r="K6" s="11" t="s">
        <v>35</v>
      </c>
      <c r="L6" s="12" t="s">
        <v>36</v>
      </c>
      <c r="M6" s="11" t="s">
        <v>35</v>
      </c>
      <c r="N6" s="12" t="s">
        <v>36</v>
      </c>
      <c r="O6" s="11" t="s">
        <v>35</v>
      </c>
      <c r="P6" s="12" t="s">
        <v>36</v>
      </c>
      <c r="Q6" s="404"/>
      <c r="R6" s="12" t="s">
        <v>158</v>
      </c>
      <c r="S6" s="12" t="s">
        <v>33</v>
      </c>
      <c r="T6" s="11" t="s">
        <v>164</v>
      </c>
      <c r="U6" s="11" t="s">
        <v>257</v>
      </c>
      <c r="V6" s="11" t="s">
        <v>165</v>
      </c>
      <c r="W6" s="11" t="s">
        <v>162</v>
      </c>
      <c r="X6" s="401"/>
      <c r="Y6" s="401"/>
      <c r="Z6" s="401"/>
      <c r="AA6" s="401"/>
      <c r="AB6" s="417"/>
    </row>
    <row r="7" spans="1:28" ht="18.75" customHeight="1">
      <c r="A7" s="2" t="s">
        <v>133</v>
      </c>
      <c r="B7" s="97" t="s">
        <v>28</v>
      </c>
      <c r="C7" s="97">
        <f>SUM(C8:C14)</f>
        <v>28</v>
      </c>
      <c r="D7" s="353">
        <f>SUM(D8:D14)</f>
        <v>150</v>
      </c>
      <c r="E7" s="114">
        <f aca="true" t="shared" si="0" ref="E7:AB7">SUM(E8:E14)</f>
        <v>56905</v>
      </c>
      <c r="F7" s="24">
        <f t="shared" si="0"/>
        <v>2292</v>
      </c>
      <c r="G7" s="114">
        <f t="shared" si="0"/>
        <v>12036</v>
      </c>
      <c r="H7" s="25">
        <f t="shared" si="0"/>
        <v>487</v>
      </c>
      <c r="I7" s="114">
        <f t="shared" si="0"/>
        <v>11637</v>
      </c>
      <c r="J7" s="25">
        <f t="shared" si="0"/>
        <v>478</v>
      </c>
      <c r="K7" s="114">
        <f t="shared" si="0"/>
        <v>11571</v>
      </c>
      <c r="L7" s="25">
        <f t="shared" si="0"/>
        <v>463</v>
      </c>
      <c r="M7" s="114">
        <f t="shared" si="0"/>
        <v>11076</v>
      </c>
      <c r="N7" s="25">
        <f t="shared" si="0"/>
        <v>440</v>
      </c>
      <c r="O7" s="114">
        <f t="shared" si="0"/>
        <v>10585</v>
      </c>
      <c r="P7" s="25">
        <f t="shared" si="0"/>
        <v>424</v>
      </c>
      <c r="Q7" s="25">
        <f>SUM(Q8:Q14)</f>
        <v>27691</v>
      </c>
      <c r="R7" s="24">
        <f t="shared" si="0"/>
        <v>15884</v>
      </c>
      <c r="S7" s="24">
        <f t="shared" si="0"/>
        <v>7632</v>
      </c>
      <c r="T7" s="117">
        <f t="shared" si="0"/>
        <v>1723</v>
      </c>
      <c r="U7" s="24">
        <f t="shared" si="0"/>
        <v>84</v>
      </c>
      <c r="V7" s="24">
        <f t="shared" si="0"/>
        <v>121</v>
      </c>
      <c r="W7" s="24">
        <f t="shared" si="0"/>
        <v>0</v>
      </c>
      <c r="X7" s="24">
        <f t="shared" si="0"/>
        <v>2834</v>
      </c>
      <c r="Y7" s="25">
        <f t="shared" si="0"/>
        <v>2223</v>
      </c>
      <c r="Z7" s="25">
        <f>SUM(Z8:Z14)</f>
        <v>295</v>
      </c>
      <c r="AA7" s="25">
        <f t="shared" si="0"/>
        <v>173</v>
      </c>
      <c r="AB7" s="24">
        <f t="shared" si="0"/>
        <v>3764</v>
      </c>
    </row>
    <row r="8" spans="1:28" s="48" customFormat="1" ht="15.75" customHeight="1">
      <c r="A8" s="46">
        <v>1</v>
      </c>
      <c r="B8" s="47" t="s">
        <v>37</v>
      </c>
      <c r="C8" s="46">
        <v>2</v>
      </c>
      <c r="D8" s="99">
        <v>16</v>
      </c>
      <c r="E8" s="99">
        <f>G8+I8+K8+M8+O8</f>
        <v>2987</v>
      </c>
      <c r="F8" s="99">
        <f>H8+J8+L8+N8+P8</f>
        <v>174</v>
      </c>
      <c r="G8" s="99">
        <v>749</v>
      </c>
      <c r="H8" s="99">
        <v>43</v>
      </c>
      <c r="I8" s="99">
        <v>696</v>
      </c>
      <c r="J8" s="99">
        <v>42</v>
      </c>
      <c r="K8" s="99">
        <v>633</v>
      </c>
      <c r="L8" s="99">
        <v>37</v>
      </c>
      <c r="M8" s="99">
        <v>454</v>
      </c>
      <c r="N8" s="99">
        <v>25</v>
      </c>
      <c r="O8" s="99">
        <v>455</v>
      </c>
      <c r="P8" s="99">
        <v>27</v>
      </c>
      <c r="Q8" s="99">
        <v>1503</v>
      </c>
      <c r="R8" s="99">
        <v>2843</v>
      </c>
      <c r="S8" s="47">
        <v>1443</v>
      </c>
      <c r="T8" s="47">
        <v>153</v>
      </c>
      <c r="U8" s="47">
        <f>161-153</f>
        <v>8</v>
      </c>
      <c r="V8" s="47">
        <v>10</v>
      </c>
      <c r="W8" s="47">
        <v>0</v>
      </c>
      <c r="X8" s="99">
        <f>185+13</f>
        <v>198</v>
      </c>
      <c r="Y8" s="99">
        <f>131+3</f>
        <v>134</v>
      </c>
      <c r="Z8" s="99">
        <f>17+16</f>
        <v>33</v>
      </c>
      <c r="AA8" s="99">
        <v>16</v>
      </c>
      <c r="AB8" s="99">
        <v>296</v>
      </c>
    </row>
    <row r="9" spans="1:28" s="48" customFormat="1" ht="15.75" customHeight="1">
      <c r="A9" s="46">
        <v>2</v>
      </c>
      <c r="B9" s="47" t="s">
        <v>38</v>
      </c>
      <c r="C9" s="46">
        <v>6</v>
      </c>
      <c r="D9" s="99">
        <v>20</v>
      </c>
      <c r="E9" s="99">
        <f aca="true" t="shared" si="1" ref="E9:E14">G9+I9+K9+M9+O9</f>
        <v>8793</v>
      </c>
      <c r="F9" s="99">
        <f aca="true" t="shared" si="2" ref="F9:F14">H9+J9+L9+N9+P9</f>
        <v>340</v>
      </c>
      <c r="G9" s="99">
        <v>1771</v>
      </c>
      <c r="H9" s="99">
        <v>69</v>
      </c>
      <c r="I9" s="99">
        <v>1710</v>
      </c>
      <c r="J9" s="99">
        <v>65</v>
      </c>
      <c r="K9" s="99">
        <v>1784</v>
      </c>
      <c r="L9" s="99">
        <v>69</v>
      </c>
      <c r="M9" s="99">
        <v>1783</v>
      </c>
      <c r="N9" s="99">
        <v>71</v>
      </c>
      <c r="O9" s="99">
        <v>1745</v>
      </c>
      <c r="P9" s="99">
        <v>66</v>
      </c>
      <c r="Q9" s="99">
        <v>4341</v>
      </c>
      <c r="R9" s="99">
        <v>716</v>
      </c>
      <c r="S9" s="47">
        <v>342</v>
      </c>
      <c r="T9" s="47">
        <v>251</v>
      </c>
      <c r="U9" s="47">
        <v>12</v>
      </c>
      <c r="V9" s="47">
        <v>20</v>
      </c>
      <c r="W9" s="47">
        <v>0</v>
      </c>
      <c r="X9" s="99">
        <v>435</v>
      </c>
      <c r="Y9" s="99">
        <v>349</v>
      </c>
      <c r="Z9" s="99">
        <v>41</v>
      </c>
      <c r="AA9" s="99">
        <v>29</v>
      </c>
      <c r="AB9" s="99">
        <v>556</v>
      </c>
    </row>
    <row r="10" spans="1:28" ht="15.75" customHeight="1">
      <c r="A10" s="10">
        <v>3</v>
      </c>
      <c r="B10" s="16" t="s">
        <v>40</v>
      </c>
      <c r="C10" s="10">
        <v>3</v>
      </c>
      <c r="D10" s="98">
        <v>33</v>
      </c>
      <c r="E10" s="98">
        <f t="shared" si="1"/>
        <v>12091</v>
      </c>
      <c r="F10" s="98">
        <f t="shared" si="2"/>
        <v>502</v>
      </c>
      <c r="G10" s="98">
        <v>2513</v>
      </c>
      <c r="H10" s="98">
        <v>108</v>
      </c>
      <c r="I10" s="98">
        <v>2432</v>
      </c>
      <c r="J10" s="98">
        <v>101</v>
      </c>
      <c r="K10" s="98">
        <v>2410</v>
      </c>
      <c r="L10" s="98">
        <v>94</v>
      </c>
      <c r="M10" s="98">
        <v>2409</v>
      </c>
      <c r="N10" s="98">
        <v>101</v>
      </c>
      <c r="O10" s="98">
        <v>2327</v>
      </c>
      <c r="P10" s="98">
        <v>98</v>
      </c>
      <c r="Q10" s="98">
        <v>5842</v>
      </c>
      <c r="R10" s="98">
        <v>4871</v>
      </c>
      <c r="S10" s="16">
        <v>2411</v>
      </c>
      <c r="T10" s="16">
        <v>359</v>
      </c>
      <c r="U10" s="16">
        <v>21</v>
      </c>
      <c r="V10" s="16">
        <v>25</v>
      </c>
      <c r="W10" s="16">
        <v>0</v>
      </c>
      <c r="X10" s="98">
        <f>604+11</f>
        <v>615</v>
      </c>
      <c r="Y10" s="98">
        <f>509+5</f>
        <v>514</v>
      </c>
      <c r="Z10" s="98">
        <f>33+35</f>
        <v>68</v>
      </c>
      <c r="AA10" s="98">
        <f>14+20</f>
        <v>34</v>
      </c>
      <c r="AB10" s="98">
        <v>827</v>
      </c>
    </row>
    <row r="11" spans="1:28" s="49" customFormat="1" ht="15.75" customHeight="1">
      <c r="A11" s="293">
        <v>4</v>
      </c>
      <c r="B11" s="30" t="s">
        <v>15</v>
      </c>
      <c r="C11" s="293">
        <v>3</v>
      </c>
      <c r="D11" s="294">
        <v>24</v>
      </c>
      <c r="E11" s="294">
        <f t="shared" si="1"/>
        <v>7277</v>
      </c>
      <c r="F11" s="294">
        <f t="shared" si="2"/>
        <v>309</v>
      </c>
      <c r="G11" s="294">
        <v>1493</v>
      </c>
      <c r="H11" s="294">
        <v>64</v>
      </c>
      <c r="I11" s="294">
        <v>1501</v>
      </c>
      <c r="J11" s="294">
        <v>64</v>
      </c>
      <c r="K11" s="294">
        <v>1508</v>
      </c>
      <c r="L11" s="294">
        <v>60</v>
      </c>
      <c r="M11" s="294">
        <v>1425</v>
      </c>
      <c r="N11" s="294">
        <v>62</v>
      </c>
      <c r="O11" s="294">
        <v>1350</v>
      </c>
      <c r="P11" s="294">
        <v>59</v>
      </c>
      <c r="Q11" s="294">
        <v>3506</v>
      </c>
      <c r="R11" s="294">
        <v>2171</v>
      </c>
      <c r="S11" s="30">
        <v>1101</v>
      </c>
      <c r="T11" s="30">
        <v>302</v>
      </c>
      <c r="U11" s="30">
        <v>21</v>
      </c>
      <c r="V11" s="30">
        <v>17</v>
      </c>
      <c r="W11" s="30">
        <v>0</v>
      </c>
      <c r="X11" s="294">
        <v>401</v>
      </c>
      <c r="Y11" s="294">
        <f>317+3</f>
        <v>320</v>
      </c>
      <c r="Z11" s="294">
        <v>46</v>
      </c>
      <c r="AA11" s="294">
        <v>31</v>
      </c>
      <c r="AB11" s="294">
        <v>526</v>
      </c>
    </row>
    <row r="12" spans="1:28" ht="15.75" customHeight="1">
      <c r="A12" s="10">
        <v>5</v>
      </c>
      <c r="B12" s="16" t="s">
        <v>14</v>
      </c>
      <c r="C12" s="10">
        <v>11</v>
      </c>
      <c r="D12" s="98">
        <v>30</v>
      </c>
      <c r="E12" s="98">
        <f t="shared" si="1"/>
        <v>15773</v>
      </c>
      <c r="F12" s="98">
        <f t="shared" si="2"/>
        <v>537</v>
      </c>
      <c r="G12" s="98">
        <v>3380</v>
      </c>
      <c r="H12" s="98">
        <v>113</v>
      </c>
      <c r="I12" s="98">
        <v>3281</v>
      </c>
      <c r="J12" s="98">
        <v>113</v>
      </c>
      <c r="K12" s="98">
        <v>3060</v>
      </c>
      <c r="L12" s="98">
        <v>106</v>
      </c>
      <c r="M12" s="98">
        <v>3191</v>
      </c>
      <c r="N12" s="98">
        <v>108</v>
      </c>
      <c r="O12" s="98">
        <v>2861</v>
      </c>
      <c r="P12" s="98">
        <v>97</v>
      </c>
      <c r="Q12" s="98">
        <v>7666</v>
      </c>
      <c r="R12" s="98">
        <v>307</v>
      </c>
      <c r="S12" s="16">
        <v>146</v>
      </c>
      <c r="T12" s="16">
        <v>358</v>
      </c>
      <c r="U12" s="16">
        <v>13</v>
      </c>
      <c r="V12" s="16">
        <v>33</v>
      </c>
      <c r="W12" s="16">
        <v>0</v>
      </c>
      <c r="X12" s="98">
        <v>704</v>
      </c>
      <c r="Y12" s="98">
        <v>651</v>
      </c>
      <c r="Z12" s="98">
        <v>59</v>
      </c>
      <c r="AA12" s="98">
        <v>42</v>
      </c>
      <c r="AB12" s="98">
        <v>899</v>
      </c>
    </row>
    <row r="13" spans="1:28" ht="15.75" customHeight="1">
      <c r="A13" s="10">
        <v>6</v>
      </c>
      <c r="B13" s="16" t="s">
        <v>39</v>
      </c>
      <c r="C13" s="10">
        <v>3</v>
      </c>
      <c r="D13" s="98">
        <v>11</v>
      </c>
      <c r="E13" s="98">
        <f t="shared" si="1"/>
        <v>4030</v>
      </c>
      <c r="F13" s="98">
        <f t="shared" si="2"/>
        <v>189</v>
      </c>
      <c r="G13" s="98">
        <v>857</v>
      </c>
      <c r="H13" s="98">
        <v>38</v>
      </c>
      <c r="I13" s="98">
        <v>847</v>
      </c>
      <c r="J13" s="98">
        <v>43</v>
      </c>
      <c r="K13" s="98">
        <v>864</v>
      </c>
      <c r="L13" s="98">
        <v>45</v>
      </c>
      <c r="M13" s="98">
        <v>714</v>
      </c>
      <c r="N13" s="98">
        <v>29</v>
      </c>
      <c r="O13" s="98">
        <v>748</v>
      </c>
      <c r="P13" s="98">
        <v>34</v>
      </c>
      <c r="Q13" s="98">
        <v>1987</v>
      </c>
      <c r="R13" s="98">
        <v>2944</v>
      </c>
      <c r="S13" s="16">
        <v>1207</v>
      </c>
      <c r="T13" s="16">
        <v>134</v>
      </c>
      <c r="U13" s="16">
        <v>4</v>
      </c>
      <c r="V13" s="16">
        <v>9</v>
      </c>
      <c r="W13" s="16"/>
      <c r="X13" s="98">
        <v>245</v>
      </c>
      <c r="Y13" s="98">
        <v>141</v>
      </c>
      <c r="Z13" s="98">
        <v>20</v>
      </c>
      <c r="AA13" s="98">
        <v>10</v>
      </c>
      <c r="AB13" s="98">
        <v>317</v>
      </c>
    </row>
    <row r="14" spans="1:28" ht="15.75" customHeight="1">
      <c r="A14" s="10">
        <v>7</v>
      </c>
      <c r="B14" s="16" t="s">
        <v>47</v>
      </c>
      <c r="C14" s="16"/>
      <c r="D14" s="98">
        <v>16</v>
      </c>
      <c r="E14" s="98">
        <f t="shared" si="1"/>
        <v>5954</v>
      </c>
      <c r="F14" s="98">
        <f t="shared" si="2"/>
        <v>241</v>
      </c>
      <c r="G14" s="98">
        <v>1273</v>
      </c>
      <c r="H14" s="98">
        <v>52</v>
      </c>
      <c r="I14" s="98">
        <v>1170</v>
      </c>
      <c r="J14" s="98">
        <v>50</v>
      </c>
      <c r="K14" s="98">
        <v>1312</v>
      </c>
      <c r="L14" s="98">
        <v>52</v>
      </c>
      <c r="M14" s="98">
        <v>1100</v>
      </c>
      <c r="N14" s="98">
        <v>44</v>
      </c>
      <c r="O14" s="98">
        <v>1099</v>
      </c>
      <c r="P14" s="98">
        <v>43</v>
      </c>
      <c r="Q14" s="98">
        <v>2846</v>
      </c>
      <c r="R14" s="98">
        <v>2032</v>
      </c>
      <c r="S14" s="16">
        <v>982</v>
      </c>
      <c r="T14" s="16">
        <v>166</v>
      </c>
      <c r="U14" s="16">
        <v>5</v>
      </c>
      <c r="V14" s="16">
        <v>7</v>
      </c>
      <c r="W14" s="16">
        <v>0</v>
      </c>
      <c r="X14" s="98">
        <v>236</v>
      </c>
      <c r="Y14" s="98">
        <v>114</v>
      </c>
      <c r="Z14" s="98">
        <f>15+13</f>
        <v>28</v>
      </c>
      <c r="AA14" s="98">
        <v>11</v>
      </c>
      <c r="AB14" s="98">
        <v>343</v>
      </c>
    </row>
    <row r="15" spans="1:28" ht="15.75" customHeight="1">
      <c r="A15" s="29" t="s">
        <v>134</v>
      </c>
      <c r="B15" s="96" t="s">
        <v>132</v>
      </c>
      <c r="C15" s="29" t="s">
        <v>154</v>
      </c>
      <c r="D15" s="29">
        <f>SUM(D16:D18)</f>
        <v>1</v>
      </c>
      <c r="E15" s="96">
        <f aca="true" t="shared" si="3" ref="E15:AB15">SUM(E16:E18)</f>
        <v>662</v>
      </c>
      <c r="F15" s="96">
        <f t="shared" si="3"/>
        <v>41</v>
      </c>
      <c r="G15" s="96">
        <f t="shared" si="3"/>
        <v>156</v>
      </c>
      <c r="H15" s="96">
        <f t="shared" si="3"/>
        <v>10</v>
      </c>
      <c r="I15" s="96">
        <f t="shared" si="3"/>
        <v>138</v>
      </c>
      <c r="J15" s="96">
        <f t="shared" si="3"/>
        <v>9</v>
      </c>
      <c r="K15" s="96">
        <f t="shared" si="3"/>
        <v>143</v>
      </c>
      <c r="L15" s="96">
        <f t="shared" si="3"/>
        <v>9</v>
      </c>
      <c r="M15" s="96">
        <f t="shared" si="3"/>
        <v>103</v>
      </c>
      <c r="N15" s="96">
        <f t="shared" si="3"/>
        <v>6</v>
      </c>
      <c r="O15" s="96">
        <f t="shared" si="3"/>
        <v>122</v>
      </c>
      <c r="P15" s="96">
        <f t="shared" si="3"/>
        <v>7</v>
      </c>
      <c r="Q15" s="96">
        <f t="shared" si="3"/>
        <v>337</v>
      </c>
      <c r="R15" s="96">
        <f t="shared" si="3"/>
        <v>640</v>
      </c>
      <c r="S15" s="96">
        <f t="shared" si="3"/>
        <v>325</v>
      </c>
      <c r="T15" s="96">
        <f t="shared" si="3"/>
        <v>37</v>
      </c>
      <c r="U15" s="96">
        <f t="shared" si="3"/>
        <v>7</v>
      </c>
      <c r="V15" s="96">
        <f t="shared" si="3"/>
        <v>3</v>
      </c>
      <c r="W15" s="96">
        <f t="shared" si="3"/>
        <v>0</v>
      </c>
      <c r="X15" s="96">
        <f t="shared" si="3"/>
        <v>61</v>
      </c>
      <c r="Y15" s="96">
        <f t="shared" si="3"/>
        <v>42</v>
      </c>
      <c r="Z15" s="96">
        <f t="shared" si="3"/>
        <v>7</v>
      </c>
      <c r="AA15" s="96">
        <f t="shared" si="3"/>
        <v>2</v>
      </c>
      <c r="AB15" s="96">
        <f t="shared" si="3"/>
        <v>85</v>
      </c>
    </row>
    <row r="16" spans="1:28" ht="15.75" customHeight="1">
      <c r="A16" s="10">
        <v>1</v>
      </c>
      <c r="B16" s="16" t="s">
        <v>182</v>
      </c>
      <c r="C16" s="16"/>
      <c r="D16" s="16"/>
      <c r="E16" s="16">
        <f aca="true" t="shared" si="4" ref="E16:F18">G16+I16+K16+M16+O16</f>
        <v>267</v>
      </c>
      <c r="F16" s="16">
        <f t="shared" si="4"/>
        <v>19</v>
      </c>
      <c r="G16" s="16">
        <v>54</v>
      </c>
      <c r="H16" s="16">
        <v>4</v>
      </c>
      <c r="I16" s="16">
        <v>54</v>
      </c>
      <c r="J16" s="16">
        <v>4</v>
      </c>
      <c r="K16" s="16">
        <v>53</v>
      </c>
      <c r="L16" s="16">
        <v>4</v>
      </c>
      <c r="M16" s="16">
        <v>54</v>
      </c>
      <c r="N16" s="16">
        <v>4</v>
      </c>
      <c r="O16" s="16">
        <v>52</v>
      </c>
      <c r="P16" s="16">
        <v>3</v>
      </c>
      <c r="Q16" s="16">
        <v>131</v>
      </c>
      <c r="R16" s="16">
        <v>267</v>
      </c>
      <c r="S16" s="16">
        <v>131</v>
      </c>
      <c r="T16" s="16">
        <v>17</v>
      </c>
      <c r="U16" s="16">
        <v>7</v>
      </c>
      <c r="V16" s="16">
        <v>1</v>
      </c>
      <c r="W16" s="16">
        <v>0</v>
      </c>
      <c r="X16" s="16">
        <v>27</v>
      </c>
      <c r="Y16" s="16">
        <v>19</v>
      </c>
      <c r="Z16" s="16">
        <v>3</v>
      </c>
      <c r="AA16" s="16">
        <v>1</v>
      </c>
      <c r="AB16" s="16">
        <v>37</v>
      </c>
    </row>
    <row r="17" spans="1:28" ht="15.75" customHeight="1">
      <c r="A17" s="10">
        <v>2</v>
      </c>
      <c r="B17" s="16" t="s">
        <v>181</v>
      </c>
      <c r="C17" s="10" t="s">
        <v>136</v>
      </c>
      <c r="D17" s="10">
        <v>1</v>
      </c>
      <c r="E17" s="16">
        <f t="shared" si="4"/>
        <v>244</v>
      </c>
      <c r="F17" s="16">
        <f t="shared" si="4"/>
        <v>14</v>
      </c>
      <c r="G17" s="16">
        <v>70</v>
      </c>
      <c r="H17" s="16">
        <v>4</v>
      </c>
      <c r="I17" s="16">
        <v>49</v>
      </c>
      <c r="J17" s="16">
        <v>3</v>
      </c>
      <c r="K17" s="16">
        <v>50</v>
      </c>
      <c r="L17" s="16">
        <v>3</v>
      </c>
      <c r="M17" s="16">
        <v>29</v>
      </c>
      <c r="N17" s="16">
        <v>1</v>
      </c>
      <c r="O17" s="16">
        <v>46</v>
      </c>
      <c r="P17" s="16">
        <v>3</v>
      </c>
      <c r="Q17" s="16">
        <v>132</v>
      </c>
      <c r="R17" s="16">
        <v>225</v>
      </c>
      <c r="S17" s="16">
        <v>121</v>
      </c>
      <c r="T17" s="16">
        <v>14</v>
      </c>
      <c r="U17" s="16">
        <v>0</v>
      </c>
      <c r="V17" s="16">
        <v>1</v>
      </c>
      <c r="W17" s="16">
        <v>0</v>
      </c>
      <c r="X17" s="16">
        <v>24</v>
      </c>
      <c r="Y17" s="16">
        <v>18</v>
      </c>
      <c r="Z17" s="16">
        <v>2</v>
      </c>
      <c r="AA17" s="16">
        <v>1</v>
      </c>
      <c r="AB17" s="16">
        <v>31</v>
      </c>
    </row>
    <row r="18" spans="1:28" ht="15.75" customHeight="1">
      <c r="A18" s="10">
        <v>3</v>
      </c>
      <c r="B18" s="16" t="s">
        <v>183</v>
      </c>
      <c r="C18" s="16"/>
      <c r="D18" s="16"/>
      <c r="E18" s="16">
        <f t="shared" si="4"/>
        <v>151</v>
      </c>
      <c r="F18" s="16">
        <f t="shared" si="4"/>
        <v>8</v>
      </c>
      <c r="G18" s="16">
        <v>32</v>
      </c>
      <c r="H18" s="16">
        <v>2</v>
      </c>
      <c r="I18" s="16">
        <v>35</v>
      </c>
      <c r="J18" s="16">
        <v>2</v>
      </c>
      <c r="K18" s="16">
        <v>40</v>
      </c>
      <c r="L18" s="16">
        <v>2</v>
      </c>
      <c r="M18" s="16">
        <v>20</v>
      </c>
      <c r="N18" s="16">
        <v>1</v>
      </c>
      <c r="O18" s="16">
        <v>24</v>
      </c>
      <c r="P18" s="16">
        <v>1</v>
      </c>
      <c r="Q18" s="16">
        <v>74</v>
      </c>
      <c r="R18" s="16">
        <v>148</v>
      </c>
      <c r="S18" s="16">
        <v>73</v>
      </c>
      <c r="T18" s="16">
        <v>6</v>
      </c>
      <c r="U18" s="16">
        <v>0</v>
      </c>
      <c r="V18" s="16">
        <v>1</v>
      </c>
      <c r="W18" s="16">
        <v>0</v>
      </c>
      <c r="X18" s="16">
        <v>10</v>
      </c>
      <c r="Y18" s="16">
        <v>5</v>
      </c>
      <c r="Z18" s="16">
        <v>2</v>
      </c>
      <c r="AA18" s="16">
        <v>0</v>
      </c>
      <c r="AB18" s="16">
        <v>17</v>
      </c>
    </row>
    <row r="19" spans="1:18" s="128" customFormat="1" ht="22.5" customHeight="1">
      <c r="A19" s="2" t="s">
        <v>135</v>
      </c>
      <c r="B19" s="25" t="s">
        <v>209</v>
      </c>
      <c r="C19" s="97" t="s">
        <v>211</v>
      </c>
      <c r="D19" s="97" t="s">
        <v>212</v>
      </c>
      <c r="E19" s="127" t="s">
        <v>197</v>
      </c>
      <c r="F19" s="127" t="s">
        <v>210</v>
      </c>
      <c r="G19" s="358" t="s">
        <v>42</v>
      </c>
      <c r="H19" s="360"/>
      <c r="I19" s="358" t="s">
        <v>43</v>
      </c>
      <c r="J19" s="360"/>
      <c r="K19" s="358" t="s">
        <v>44</v>
      </c>
      <c r="L19" s="360"/>
      <c r="M19" s="358" t="s">
        <v>45</v>
      </c>
      <c r="N19" s="360"/>
      <c r="O19" s="358" t="s">
        <v>46</v>
      </c>
      <c r="P19" s="360"/>
      <c r="Q19" s="168"/>
      <c r="R19" s="170"/>
    </row>
    <row r="20" spans="1:18" s="48" customFormat="1" ht="15.75" customHeight="1">
      <c r="A20" s="46">
        <v>1</v>
      </c>
      <c r="B20" s="47" t="s">
        <v>37</v>
      </c>
      <c r="C20" s="201">
        <f>E20/E8</f>
        <v>0.7599598259122866</v>
      </c>
      <c r="D20" s="201">
        <f>F20/E8</f>
        <v>0.8784733846668898</v>
      </c>
      <c r="E20" s="99">
        <f>G20+I20+K20+M20+O20</f>
        <v>2270</v>
      </c>
      <c r="F20" s="99">
        <f>H20+J20+L20+N20+P20</f>
        <v>2624</v>
      </c>
      <c r="G20" s="99">
        <v>672</v>
      </c>
      <c r="H20" s="99">
        <f>23+G20</f>
        <v>695</v>
      </c>
      <c r="I20" s="99">
        <v>599</v>
      </c>
      <c r="J20" s="99">
        <f>55+I20</f>
        <v>654</v>
      </c>
      <c r="K20" s="99">
        <v>563</v>
      </c>
      <c r="L20" s="99">
        <f>23+K20</f>
        <v>586</v>
      </c>
      <c r="M20" s="99">
        <v>233</v>
      </c>
      <c r="N20" s="99">
        <f>103+M20</f>
        <v>336</v>
      </c>
      <c r="O20" s="99">
        <v>203</v>
      </c>
      <c r="P20" s="99">
        <f>150+O20</f>
        <v>353</v>
      </c>
      <c r="Q20" s="202"/>
      <c r="R20" s="203"/>
    </row>
    <row r="21" spans="1:18" s="48" customFormat="1" ht="15.75" customHeight="1">
      <c r="A21" s="46">
        <v>2</v>
      </c>
      <c r="B21" s="47" t="s">
        <v>38</v>
      </c>
      <c r="C21" s="201">
        <f aca="true" t="shared" si="5" ref="C21:C26">E21/E9</f>
        <v>0.08711475036961219</v>
      </c>
      <c r="D21" s="201">
        <f aca="true" t="shared" si="6" ref="D21:D26">F21/E9</f>
        <v>0.6105993403843967</v>
      </c>
      <c r="E21" s="99">
        <f aca="true" t="shared" si="7" ref="E21:E26">G21+I21+K21+M21+O21</f>
        <v>766</v>
      </c>
      <c r="F21" s="99">
        <f aca="true" t="shared" si="8" ref="F21:F26">H21+J21+L21+N21+P21</f>
        <v>5369</v>
      </c>
      <c r="G21" s="99">
        <v>46</v>
      </c>
      <c r="H21" s="99">
        <v>1382</v>
      </c>
      <c r="I21" s="99">
        <v>90</v>
      </c>
      <c r="J21" s="99">
        <v>932</v>
      </c>
      <c r="K21" s="99">
        <v>451</v>
      </c>
      <c r="L21" s="99">
        <v>593</v>
      </c>
      <c r="M21" s="99">
        <v>43</v>
      </c>
      <c r="N21" s="99">
        <v>1286</v>
      </c>
      <c r="O21" s="99">
        <v>136</v>
      </c>
      <c r="P21" s="99">
        <v>1176</v>
      </c>
      <c r="Q21" s="202"/>
      <c r="R21" s="203"/>
    </row>
    <row r="22" spans="1:18" ht="15.75" customHeight="1">
      <c r="A22" s="10">
        <v>3</v>
      </c>
      <c r="B22" s="16" t="s">
        <v>40</v>
      </c>
      <c r="C22" s="129">
        <f t="shared" si="5"/>
        <v>0.26962203291704573</v>
      </c>
      <c r="D22" s="129">
        <f t="shared" si="6"/>
        <v>0.6674385906872881</v>
      </c>
      <c r="E22" s="98">
        <f t="shared" si="7"/>
        <v>3260</v>
      </c>
      <c r="F22" s="98">
        <f t="shared" si="8"/>
        <v>8070</v>
      </c>
      <c r="G22" s="98">
        <v>752</v>
      </c>
      <c r="H22" s="98">
        <v>1399</v>
      </c>
      <c r="I22" s="98">
        <v>547</v>
      </c>
      <c r="J22" s="98">
        <v>1762</v>
      </c>
      <c r="K22" s="98">
        <v>753</v>
      </c>
      <c r="L22" s="98">
        <v>1521</v>
      </c>
      <c r="M22" s="98">
        <v>644</v>
      </c>
      <c r="N22" s="98">
        <v>1755</v>
      </c>
      <c r="O22" s="98">
        <v>564</v>
      </c>
      <c r="P22" s="98">
        <v>1633</v>
      </c>
      <c r="Q22" s="169"/>
      <c r="R22" s="109"/>
    </row>
    <row r="23" spans="1:18" ht="15.75" customHeight="1">
      <c r="A23" s="293">
        <v>4</v>
      </c>
      <c r="B23" s="30" t="s">
        <v>15</v>
      </c>
      <c r="C23" s="129">
        <f t="shared" si="5"/>
        <v>0.30218496633227976</v>
      </c>
      <c r="D23" s="129">
        <f t="shared" si="6"/>
        <v>0.5893912326508176</v>
      </c>
      <c r="E23" s="98">
        <f t="shared" si="7"/>
        <v>2199</v>
      </c>
      <c r="F23" s="98">
        <f t="shared" si="8"/>
        <v>4289</v>
      </c>
      <c r="G23" s="98">
        <v>283</v>
      </c>
      <c r="H23" s="98">
        <v>1020</v>
      </c>
      <c r="I23" s="98">
        <v>531</v>
      </c>
      <c r="J23" s="98">
        <v>801</v>
      </c>
      <c r="K23" s="98">
        <v>544</v>
      </c>
      <c r="L23" s="98">
        <v>838</v>
      </c>
      <c r="M23" s="98">
        <v>507</v>
      </c>
      <c r="N23" s="98">
        <v>779</v>
      </c>
      <c r="O23" s="98">
        <v>334</v>
      </c>
      <c r="P23" s="98">
        <v>851</v>
      </c>
      <c r="Q23" s="169"/>
      <c r="R23" s="109"/>
    </row>
    <row r="24" spans="1:18" s="48" customFormat="1" ht="15.75" customHeight="1">
      <c r="A24" s="46">
        <v>5</v>
      </c>
      <c r="B24" s="47" t="s">
        <v>14</v>
      </c>
      <c r="C24" s="201">
        <f t="shared" si="5"/>
        <v>0.27325175933557344</v>
      </c>
      <c r="D24" s="201">
        <f t="shared" si="6"/>
        <v>0.6236606859823749</v>
      </c>
      <c r="E24" s="99">
        <f t="shared" si="7"/>
        <v>4310</v>
      </c>
      <c r="F24" s="99">
        <f t="shared" si="8"/>
        <v>9837</v>
      </c>
      <c r="G24" s="99">
        <v>1083</v>
      </c>
      <c r="H24" s="99">
        <v>1978</v>
      </c>
      <c r="I24" s="99">
        <v>1392</v>
      </c>
      <c r="J24" s="99">
        <v>1679</v>
      </c>
      <c r="K24" s="99">
        <v>1276</v>
      </c>
      <c r="L24" s="99">
        <v>1531</v>
      </c>
      <c r="M24" s="99">
        <v>395</v>
      </c>
      <c r="N24" s="99">
        <v>2354</v>
      </c>
      <c r="O24" s="99">
        <v>164</v>
      </c>
      <c r="P24" s="99">
        <v>2295</v>
      </c>
      <c r="Q24" s="202"/>
      <c r="R24" s="203"/>
    </row>
    <row r="25" spans="1:18" s="48" customFormat="1" ht="15.75" customHeight="1">
      <c r="A25" s="46">
        <v>6</v>
      </c>
      <c r="B25" s="47" t="s">
        <v>39</v>
      </c>
      <c r="C25" s="201">
        <f t="shared" si="5"/>
        <v>0.40719602977667496</v>
      </c>
      <c r="D25" s="201">
        <f t="shared" si="6"/>
        <v>0.3915632754342432</v>
      </c>
      <c r="E25" s="99">
        <f t="shared" si="7"/>
        <v>1641</v>
      </c>
      <c r="F25" s="99">
        <f t="shared" si="8"/>
        <v>1578</v>
      </c>
      <c r="G25" s="99">
        <v>343</v>
      </c>
      <c r="H25" s="99">
        <v>214</v>
      </c>
      <c r="I25" s="99">
        <v>448</v>
      </c>
      <c r="J25" s="99">
        <v>278</v>
      </c>
      <c r="K25" s="99">
        <v>462</v>
      </c>
      <c r="L25" s="99">
        <v>265</v>
      </c>
      <c r="M25" s="99">
        <v>156</v>
      </c>
      <c r="N25" s="99">
        <v>428</v>
      </c>
      <c r="O25" s="99">
        <v>232</v>
      </c>
      <c r="P25" s="99">
        <v>393</v>
      </c>
      <c r="Q25" s="202"/>
      <c r="R25" s="203"/>
    </row>
    <row r="26" spans="1:18" s="48" customFormat="1" ht="15.75" customHeight="1">
      <c r="A26" s="46">
        <v>7</v>
      </c>
      <c r="B26" s="47" t="s">
        <v>47</v>
      </c>
      <c r="C26" s="201">
        <f t="shared" si="5"/>
        <v>0.10849848841115217</v>
      </c>
      <c r="D26" s="201">
        <f t="shared" si="6"/>
        <v>0.7783003023177696</v>
      </c>
      <c r="E26" s="99">
        <f t="shared" si="7"/>
        <v>646</v>
      </c>
      <c r="F26" s="99">
        <f t="shared" si="8"/>
        <v>4634</v>
      </c>
      <c r="G26" s="99">
        <v>72</v>
      </c>
      <c r="H26" s="99">
        <v>1005</v>
      </c>
      <c r="I26" s="99">
        <v>308</v>
      </c>
      <c r="J26" s="99">
        <v>671</v>
      </c>
      <c r="K26" s="99">
        <v>266</v>
      </c>
      <c r="L26" s="99">
        <v>900</v>
      </c>
      <c r="M26" s="99">
        <v>0</v>
      </c>
      <c r="N26" s="99">
        <v>1031</v>
      </c>
      <c r="O26" s="99">
        <v>0</v>
      </c>
      <c r="P26" s="99">
        <v>1027</v>
      </c>
      <c r="Q26" s="202"/>
      <c r="R26" s="203"/>
    </row>
    <row r="27" spans="1:18" ht="15.75" customHeight="1">
      <c r="A27" s="10"/>
      <c r="B27" s="10" t="s">
        <v>137</v>
      </c>
      <c r="C27" s="129">
        <f>E27/E7</f>
        <v>0.26521395307969425</v>
      </c>
      <c r="D27" s="129">
        <f>F27/E7</f>
        <v>0.639680168702223</v>
      </c>
      <c r="E27" s="100">
        <f aca="true" t="shared" si="9" ref="E27:P27">SUM(E20:E26)</f>
        <v>15092</v>
      </c>
      <c r="F27" s="100">
        <f t="shared" si="9"/>
        <v>36401</v>
      </c>
      <c r="G27" s="100">
        <f t="shared" si="9"/>
        <v>3251</v>
      </c>
      <c r="H27" s="100">
        <f t="shared" si="9"/>
        <v>7693</v>
      </c>
      <c r="I27" s="100">
        <f t="shared" si="9"/>
        <v>3915</v>
      </c>
      <c r="J27" s="100">
        <f t="shared" si="9"/>
        <v>6777</v>
      </c>
      <c r="K27" s="100">
        <f t="shared" si="9"/>
        <v>4315</v>
      </c>
      <c r="L27" s="100">
        <f t="shared" si="9"/>
        <v>6234</v>
      </c>
      <c r="M27" s="100">
        <f t="shared" si="9"/>
        <v>1978</v>
      </c>
      <c r="N27" s="100">
        <f t="shared" si="9"/>
        <v>7969</v>
      </c>
      <c r="O27" s="100">
        <f t="shared" si="9"/>
        <v>1633</v>
      </c>
      <c r="P27" s="100">
        <f t="shared" si="9"/>
        <v>7728</v>
      </c>
      <c r="Q27" s="169"/>
      <c r="R27" s="109"/>
    </row>
    <row r="28" spans="1:28" ht="27.75" customHeight="1">
      <c r="A28" s="2" t="s">
        <v>184</v>
      </c>
      <c r="B28" s="25" t="s">
        <v>213</v>
      </c>
      <c r="C28" s="97" t="s">
        <v>217</v>
      </c>
      <c r="D28" s="97" t="s">
        <v>216</v>
      </c>
      <c r="E28" s="97" t="s">
        <v>215</v>
      </c>
      <c r="F28" s="97" t="s">
        <v>214</v>
      </c>
      <c r="G28" s="358" t="s">
        <v>42</v>
      </c>
      <c r="H28" s="360"/>
      <c r="I28" s="358" t="s">
        <v>43</v>
      </c>
      <c r="J28" s="360"/>
      <c r="K28" s="358" t="s">
        <v>44</v>
      </c>
      <c r="L28" s="360"/>
      <c r="M28" s="358" t="s">
        <v>45</v>
      </c>
      <c r="N28" s="360"/>
      <c r="O28" s="358" t="s">
        <v>46</v>
      </c>
      <c r="P28" s="360"/>
      <c r="Q28" s="400" t="s">
        <v>203</v>
      </c>
      <c r="R28" s="400"/>
      <c r="S28" s="400"/>
      <c r="T28" s="398" t="s">
        <v>185</v>
      </c>
      <c r="U28" s="398"/>
      <c r="V28" s="398"/>
      <c r="W28" s="398"/>
      <c r="X28" s="399" t="s">
        <v>186</v>
      </c>
      <c r="Y28" s="399"/>
      <c r="Z28" s="399" t="s">
        <v>187</v>
      </c>
      <c r="AA28" s="399"/>
      <c r="AB28" s="330" t="s">
        <v>201</v>
      </c>
    </row>
    <row r="29" spans="1:28" ht="15.75" customHeight="1">
      <c r="A29" s="10">
        <v>1</v>
      </c>
      <c r="B29" s="16" t="s">
        <v>37</v>
      </c>
      <c r="C29" s="129">
        <f aca="true" t="shared" si="10" ref="C29:C35">E29/E8</f>
        <v>0.5162370271175092</v>
      </c>
      <c r="D29" s="129">
        <f>F29/E8</f>
        <v>0</v>
      </c>
      <c r="E29" s="98">
        <f>G29+I29+K29+M29+O29</f>
        <v>1542</v>
      </c>
      <c r="F29" s="98">
        <f>H29+J29+L29+N29+P29</f>
        <v>0</v>
      </c>
      <c r="G29" s="98"/>
      <c r="H29" s="98"/>
      <c r="I29" s="98"/>
      <c r="J29" s="98"/>
      <c r="K29" s="98">
        <f>K8</f>
        <v>633</v>
      </c>
      <c r="L29" s="98"/>
      <c r="M29" s="98">
        <f>M8</f>
        <v>454</v>
      </c>
      <c r="N29" s="98"/>
      <c r="O29" s="98">
        <f>O8</f>
        <v>455</v>
      </c>
      <c r="P29" s="98"/>
      <c r="Q29" s="400"/>
      <c r="R29" s="400"/>
      <c r="S29" s="400"/>
      <c r="T29" s="16">
        <f>34+30</f>
        <v>64</v>
      </c>
      <c r="U29" s="16">
        <v>48</v>
      </c>
      <c r="V29" s="16">
        <v>18</v>
      </c>
      <c r="W29" s="16">
        <v>9</v>
      </c>
      <c r="X29" s="98">
        <f>X8-AB29</f>
        <v>197</v>
      </c>
      <c r="Y29" s="204">
        <f aca="true" t="shared" si="11" ref="Y29:Y36">X29/($X29+$AB29)</f>
        <v>0.9949494949494949</v>
      </c>
      <c r="Z29" s="98">
        <f>X29-88</f>
        <v>109</v>
      </c>
      <c r="AA29" s="204">
        <f aca="true" t="shared" si="12" ref="AA29:AA36">Z29/($X29+$AB29)</f>
        <v>0.5505050505050505</v>
      </c>
      <c r="AB29" s="98">
        <v>1</v>
      </c>
    </row>
    <row r="30" spans="1:28" ht="15.75" customHeight="1">
      <c r="A30" s="10">
        <v>2</v>
      </c>
      <c r="B30" s="16" t="s">
        <v>38</v>
      </c>
      <c r="C30" s="129">
        <f t="shared" si="10"/>
        <v>0.29705447515068806</v>
      </c>
      <c r="D30" s="129">
        <f aca="true" t="shared" si="13" ref="D30:D35">F30/E9</f>
        <v>0.07039690663027408</v>
      </c>
      <c r="E30" s="98">
        <f aca="true" t="shared" si="14" ref="E30:E35">G30+I30+K30+M30+O30</f>
        <v>2612</v>
      </c>
      <c r="F30" s="98">
        <f aca="true" t="shared" si="15" ref="F30:F35">H30+J30+L30+N30+P30</f>
        <v>619</v>
      </c>
      <c r="G30" s="98"/>
      <c r="H30" s="98">
        <v>123</v>
      </c>
      <c r="I30" s="98"/>
      <c r="J30" s="98">
        <v>128</v>
      </c>
      <c r="K30" s="98">
        <v>858</v>
      </c>
      <c r="L30" s="98">
        <v>120</v>
      </c>
      <c r="M30" s="98">
        <v>895</v>
      </c>
      <c r="N30" s="98">
        <v>121</v>
      </c>
      <c r="O30" s="98">
        <v>859</v>
      </c>
      <c r="P30" s="98">
        <v>127</v>
      </c>
      <c r="Q30" s="400"/>
      <c r="R30" s="400"/>
      <c r="S30" s="400"/>
      <c r="T30" s="16">
        <v>68</v>
      </c>
      <c r="U30" s="16">
        <v>100</v>
      </c>
      <c r="V30" s="16">
        <v>20</v>
      </c>
      <c r="W30" s="16">
        <v>20</v>
      </c>
      <c r="X30" s="98">
        <f>X9-AB30</f>
        <v>408</v>
      </c>
      <c r="Y30" s="204">
        <f t="shared" si="11"/>
        <v>0.9379310344827586</v>
      </c>
      <c r="Z30" s="98">
        <f>408-70</f>
        <v>338</v>
      </c>
      <c r="AA30" s="204">
        <f t="shared" si="12"/>
        <v>0.7770114942528735</v>
      </c>
      <c r="AB30" s="98">
        <v>27</v>
      </c>
    </row>
    <row r="31" spans="1:28" ht="15.75" customHeight="1">
      <c r="A31" s="10">
        <v>3</v>
      </c>
      <c r="B31" s="16" t="s">
        <v>40</v>
      </c>
      <c r="C31" s="129">
        <f t="shared" si="10"/>
        <v>0.459680754280043</v>
      </c>
      <c r="D31" s="129">
        <f t="shared" si="13"/>
        <v>0.3917790091803821</v>
      </c>
      <c r="E31" s="98">
        <f t="shared" si="14"/>
        <v>5558</v>
      </c>
      <c r="F31" s="98">
        <f t="shared" si="15"/>
        <v>4737</v>
      </c>
      <c r="G31" s="98"/>
      <c r="H31" s="98">
        <v>959</v>
      </c>
      <c r="I31" s="98"/>
      <c r="J31" s="98">
        <v>931</v>
      </c>
      <c r="K31" s="98">
        <v>1887</v>
      </c>
      <c r="L31" s="98">
        <v>948</v>
      </c>
      <c r="M31" s="98">
        <v>1783</v>
      </c>
      <c r="N31" s="98">
        <v>920</v>
      </c>
      <c r="O31" s="98">
        <v>1888</v>
      </c>
      <c r="P31" s="98">
        <v>979</v>
      </c>
      <c r="Q31" s="400"/>
      <c r="R31" s="400"/>
      <c r="S31" s="400"/>
      <c r="T31" s="16">
        <f>230+3+268</f>
        <v>501</v>
      </c>
      <c r="U31" s="16">
        <v>120</v>
      </c>
      <c r="V31" s="16">
        <v>33</v>
      </c>
      <c r="W31" s="16">
        <v>33</v>
      </c>
      <c r="X31" s="98">
        <f>X10-AB31</f>
        <v>611</v>
      </c>
      <c r="Y31" s="204">
        <f t="shared" si="11"/>
        <v>0.9934959349593496</v>
      </c>
      <c r="Z31" s="98">
        <v>526</v>
      </c>
      <c r="AA31" s="204">
        <f t="shared" si="12"/>
        <v>0.8552845528455284</v>
      </c>
      <c r="AB31" s="98">
        <v>4</v>
      </c>
    </row>
    <row r="32" spans="1:28" ht="15.75" customHeight="1">
      <c r="A32" s="293">
        <v>4</v>
      </c>
      <c r="B32" s="30" t="s">
        <v>15</v>
      </c>
      <c r="C32" s="129">
        <f t="shared" si="10"/>
        <v>0.3813384636526041</v>
      </c>
      <c r="D32" s="129">
        <f>F32/E11</f>
        <v>0.04424900371032019</v>
      </c>
      <c r="E32" s="98">
        <f t="shared" si="14"/>
        <v>2775</v>
      </c>
      <c r="F32" s="98">
        <f t="shared" si="15"/>
        <v>322</v>
      </c>
      <c r="G32" s="98"/>
      <c r="H32" s="98">
        <v>82</v>
      </c>
      <c r="I32" s="98"/>
      <c r="J32" s="98">
        <v>68</v>
      </c>
      <c r="K32" s="98">
        <v>967</v>
      </c>
      <c r="L32" s="98">
        <v>64</v>
      </c>
      <c r="M32" s="98">
        <v>933</v>
      </c>
      <c r="N32" s="98">
        <v>64</v>
      </c>
      <c r="O32" s="98">
        <v>875</v>
      </c>
      <c r="P32" s="98">
        <v>44</v>
      </c>
      <c r="Q32" s="400"/>
      <c r="R32" s="400"/>
      <c r="S32" s="400"/>
      <c r="T32" s="16">
        <v>66</v>
      </c>
      <c r="U32" s="16">
        <v>82</v>
      </c>
      <c r="V32" s="16">
        <v>24</v>
      </c>
      <c r="W32" s="16">
        <v>22</v>
      </c>
      <c r="X32" s="98">
        <f>X11-AB32</f>
        <v>395</v>
      </c>
      <c r="Y32" s="204">
        <f t="shared" si="11"/>
        <v>0.9850374064837906</v>
      </c>
      <c r="Z32" s="98">
        <v>351</v>
      </c>
      <c r="AA32" s="204">
        <f t="shared" si="12"/>
        <v>0.8753117206982544</v>
      </c>
      <c r="AB32" s="98">
        <v>6</v>
      </c>
    </row>
    <row r="33" spans="1:28" ht="15.75" customHeight="1">
      <c r="A33" s="10">
        <v>5</v>
      </c>
      <c r="B33" s="16" t="s">
        <v>14</v>
      </c>
      <c r="C33" s="129">
        <f t="shared" si="10"/>
        <v>0.5205097318201991</v>
      </c>
      <c r="D33" s="129">
        <f t="shared" si="13"/>
        <v>0.010460914220503392</v>
      </c>
      <c r="E33" s="98">
        <f t="shared" si="14"/>
        <v>8210</v>
      </c>
      <c r="F33" s="98">
        <f t="shared" si="15"/>
        <v>165</v>
      </c>
      <c r="G33" s="98"/>
      <c r="H33" s="98">
        <v>43</v>
      </c>
      <c r="I33" s="98"/>
      <c r="J33" s="98">
        <v>25</v>
      </c>
      <c r="K33" s="98">
        <v>2768</v>
      </c>
      <c r="L33" s="98">
        <v>32</v>
      </c>
      <c r="M33" s="98">
        <v>2857</v>
      </c>
      <c r="N33" s="98">
        <v>33</v>
      </c>
      <c r="O33" s="98">
        <v>2585</v>
      </c>
      <c r="P33" s="98">
        <v>32</v>
      </c>
      <c r="Q33" s="400"/>
      <c r="R33" s="400"/>
      <c r="S33" s="400"/>
      <c r="T33" s="16">
        <v>69</v>
      </c>
      <c r="U33" s="16">
        <v>55</v>
      </c>
      <c r="V33" s="16">
        <v>20</v>
      </c>
      <c r="W33" s="16">
        <v>30</v>
      </c>
      <c r="X33" s="98">
        <f>X12-AB33</f>
        <v>702</v>
      </c>
      <c r="Y33" s="204">
        <f t="shared" si="11"/>
        <v>0.9971590909090909</v>
      </c>
      <c r="Z33" s="98">
        <f>484+149</f>
        <v>633</v>
      </c>
      <c r="AA33" s="204">
        <f t="shared" si="12"/>
        <v>0.8991477272727273</v>
      </c>
      <c r="AB33" s="98">
        <v>2</v>
      </c>
    </row>
    <row r="34" spans="1:28" ht="15.75" customHeight="1">
      <c r="A34" s="10">
        <v>6</v>
      </c>
      <c r="B34" s="16" t="s">
        <v>39</v>
      </c>
      <c r="C34" s="129">
        <f t="shared" si="10"/>
        <v>0.18982630272952852</v>
      </c>
      <c r="D34" s="129">
        <f t="shared" si="13"/>
        <v>0.14615384615384616</v>
      </c>
      <c r="E34" s="98">
        <f t="shared" si="14"/>
        <v>765</v>
      </c>
      <c r="F34" s="98">
        <f t="shared" si="15"/>
        <v>589</v>
      </c>
      <c r="G34" s="98"/>
      <c r="H34" s="98">
        <v>116</v>
      </c>
      <c r="I34" s="98"/>
      <c r="J34" s="98">
        <v>114</v>
      </c>
      <c r="K34" s="98">
        <v>273</v>
      </c>
      <c r="L34" s="98">
        <v>113</v>
      </c>
      <c r="M34" s="98">
        <v>263</v>
      </c>
      <c r="N34" s="98">
        <v>111</v>
      </c>
      <c r="O34" s="98">
        <v>229</v>
      </c>
      <c r="P34" s="98">
        <v>135</v>
      </c>
      <c r="Q34" s="400"/>
      <c r="R34" s="400"/>
      <c r="S34" s="400"/>
      <c r="T34" s="16">
        <f>50+10</f>
        <v>60</v>
      </c>
      <c r="U34" s="16">
        <v>44</v>
      </c>
      <c r="V34" s="16">
        <v>22</v>
      </c>
      <c r="W34" s="16">
        <v>12</v>
      </c>
      <c r="X34" s="98">
        <v>245</v>
      </c>
      <c r="Y34" s="205">
        <f t="shared" si="11"/>
        <v>1</v>
      </c>
      <c r="Z34" s="98">
        <f>119+99</f>
        <v>218</v>
      </c>
      <c r="AA34" s="204">
        <f t="shared" si="12"/>
        <v>0.889795918367347</v>
      </c>
      <c r="AB34" s="98">
        <v>0</v>
      </c>
    </row>
    <row r="35" spans="1:28" ht="15.75" customHeight="1">
      <c r="A35" s="10">
        <v>7</v>
      </c>
      <c r="B35" s="16" t="s">
        <v>47</v>
      </c>
      <c r="C35" s="129">
        <f t="shared" si="10"/>
        <v>0.34497816593886466</v>
      </c>
      <c r="D35" s="129">
        <f t="shared" si="13"/>
        <v>0.2843466577091031</v>
      </c>
      <c r="E35" s="98">
        <f t="shared" si="14"/>
        <v>2054</v>
      </c>
      <c r="F35" s="98">
        <f t="shared" si="15"/>
        <v>1693</v>
      </c>
      <c r="G35" s="98"/>
      <c r="H35" s="98">
        <v>398</v>
      </c>
      <c r="I35" s="98"/>
      <c r="J35" s="98">
        <v>310</v>
      </c>
      <c r="K35" s="98">
        <v>815</v>
      </c>
      <c r="L35" s="98">
        <v>292</v>
      </c>
      <c r="M35" s="98">
        <v>628</v>
      </c>
      <c r="N35" s="98">
        <v>339</v>
      </c>
      <c r="O35" s="98">
        <v>611</v>
      </c>
      <c r="P35" s="98">
        <v>354</v>
      </c>
      <c r="Q35" s="400"/>
      <c r="R35" s="400"/>
      <c r="S35" s="400"/>
      <c r="T35" s="16">
        <f>68+144</f>
        <v>212</v>
      </c>
      <c r="U35" s="16">
        <v>64</v>
      </c>
      <c r="V35" s="16">
        <v>16</v>
      </c>
      <c r="W35" s="16">
        <v>16</v>
      </c>
      <c r="X35" s="98">
        <v>232</v>
      </c>
      <c r="Y35" s="205">
        <f t="shared" si="11"/>
        <v>0.9830508474576272</v>
      </c>
      <c r="Z35" s="98">
        <f>232-62</f>
        <v>170</v>
      </c>
      <c r="AA35" s="204">
        <f t="shared" si="12"/>
        <v>0.7203389830508474</v>
      </c>
      <c r="AB35" s="98">
        <v>4</v>
      </c>
    </row>
    <row r="36" spans="1:28" ht="15.75" customHeight="1">
      <c r="A36" s="10"/>
      <c r="B36" s="10" t="s">
        <v>137</v>
      </c>
      <c r="C36" s="129">
        <f>E36/E7</f>
        <v>0.41325015376504703</v>
      </c>
      <c r="D36" s="129">
        <f>F36/E7</f>
        <v>0.1427818293647307</v>
      </c>
      <c r="E36" s="100">
        <f aca="true" t="shared" si="16" ref="E36:P36">SUM(E29:E35)</f>
        <v>23516</v>
      </c>
      <c r="F36" s="100">
        <f t="shared" si="16"/>
        <v>8125</v>
      </c>
      <c r="G36" s="100">
        <f t="shared" si="16"/>
        <v>0</v>
      </c>
      <c r="H36" s="100">
        <f t="shared" si="16"/>
        <v>1721</v>
      </c>
      <c r="I36" s="100">
        <f t="shared" si="16"/>
        <v>0</v>
      </c>
      <c r="J36" s="100">
        <f t="shared" si="16"/>
        <v>1576</v>
      </c>
      <c r="K36" s="100">
        <f t="shared" si="16"/>
        <v>8201</v>
      </c>
      <c r="L36" s="100">
        <f t="shared" si="16"/>
        <v>1569</v>
      </c>
      <c r="M36" s="100">
        <f t="shared" si="16"/>
        <v>7813</v>
      </c>
      <c r="N36" s="100">
        <f t="shared" si="16"/>
        <v>1588</v>
      </c>
      <c r="O36" s="100">
        <f t="shared" si="16"/>
        <v>7502</v>
      </c>
      <c r="P36" s="100">
        <f t="shared" si="16"/>
        <v>1671</v>
      </c>
      <c r="Q36" s="423" t="s">
        <v>137</v>
      </c>
      <c r="R36" s="423"/>
      <c r="S36" s="423"/>
      <c r="T36" s="96">
        <f>SUM(T29:T35)</f>
        <v>1040</v>
      </c>
      <c r="U36" s="96">
        <f aca="true" t="shared" si="17" ref="U36:AB36">SUM(U29:U35)</f>
        <v>513</v>
      </c>
      <c r="V36" s="96">
        <f t="shared" si="17"/>
        <v>153</v>
      </c>
      <c r="W36" s="96">
        <f t="shared" si="17"/>
        <v>142</v>
      </c>
      <c r="X36" s="96">
        <f t="shared" si="17"/>
        <v>2790</v>
      </c>
      <c r="Y36" s="331">
        <f t="shared" si="11"/>
        <v>0.9844742413549753</v>
      </c>
      <c r="Z36" s="96">
        <f t="shared" si="17"/>
        <v>2345</v>
      </c>
      <c r="AA36" s="331">
        <f t="shared" si="12"/>
        <v>0.8274523641496119</v>
      </c>
      <c r="AB36" s="96">
        <f t="shared" si="17"/>
        <v>44</v>
      </c>
    </row>
    <row r="37" spans="1:31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2"/>
      <c r="T37" s="112"/>
      <c r="U37" s="112"/>
      <c r="V37" s="112"/>
      <c r="W37" s="112"/>
      <c r="X37" s="18" t="s">
        <v>147</v>
      </c>
      <c r="Y37" s="112"/>
      <c r="Z37" s="112"/>
      <c r="AA37" s="112"/>
      <c r="AB37" s="112"/>
      <c r="AC37" s="18"/>
      <c r="AD37" s="18"/>
      <c r="AE37" s="18"/>
    </row>
    <row r="38" spans="19:31" ht="12.75">
      <c r="S38" s="18"/>
      <c r="T38" s="18"/>
      <c r="U38" s="18"/>
      <c r="W38" s="18"/>
      <c r="X38" s="3" t="s">
        <v>66</v>
      </c>
      <c r="Y38" s="18"/>
      <c r="Z38" s="18"/>
      <c r="AA38" s="18"/>
      <c r="AB38" s="18"/>
      <c r="AC38" s="18"/>
      <c r="AD38" s="18"/>
      <c r="AE38" s="18"/>
    </row>
    <row r="39" spans="2:31" ht="12.75">
      <c r="B39" s="27"/>
      <c r="C39" s="27"/>
      <c r="D39" s="27"/>
      <c r="E39" s="27" t="s">
        <v>85</v>
      </c>
      <c r="F39" s="27"/>
      <c r="S39" s="3"/>
      <c r="T39" s="3"/>
      <c r="U39" s="3"/>
      <c r="W39" s="3"/>
      <c r="X39" s="3" t="s">
        <v>67</v>
      </c>
      <c r="Y39" s="3"/>
      <c r="Z39" s="3"/>
      <c r="AA39" s="3"/>
      <c r="AB39" s="3"/>
      <c r="AC39" s="3"/>
      <c r="AD39" s="3"/>
      <c r="AE39" s="3"/>
    </row>
    <row r="40" spans="19:31" ht="12.75">
      <c r="S40" s="3"/>
      <c r="T40" s="3"/>
      <c r="U40" s="3"/>
      <c r="W40" s="3"/>
      <c r="X40" s="20"/>
      <c r="Y40" s="3"/>
      <c r="Z40" s="3"/>
      <c r="AA40" s="3"/>
      <c r="AB40" s="3"/>
      <c r="AC40" s="3"/>
      <c r="AD40" s="3"/>
      <c r="AE40" s="3"/>
    </row>
    <row r="41" spans="19:31" ht="12.75">
      <c r="S41" s="20"/>
      <c r="T41" s="20"/>
      <c r="U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9:31" ht="12.75">
      <c r="S42" s="20"/>
      <c r="T42" s="20"/>
      <c r="U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9:31" ht="12.75">
      <c r="S43" s="20"/>
      <c r="T43" s="20"/>
      <c r="U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5:31" ht="15.75">
      <c r="E44" s="18" t="s">
        <v>86</v>
      </c>
      <c r="S44" s="20"/>
      <c r="T44" s="20"/>
      <c r="U44" s="20"/>
      <c r="W44" s="20"/>
      <c r="X44" s="17" t="s">
        <v>84</v>
      </c>
      <c r="Y44" s="20"/>
      <c r="Z44" s="20"/>
      <c r="AA44" s="20"/>
      <c r="AB44" s="20"/>
      <c r="AC44" s="20"/>
      <c r="AD44" s="20"/>
      <c r="AE44" s="20"/>
    </row>
    <row r="45" spans="2:31" ht="12.75">
      <c r="B45" s="18"/>
      <c r="C45" s="18"/>
      <c r="D45" s="18"/>
      <c r="F45" s="18"/>
      <c r="S45" s="20"/>
      <c r="T45" s="20"/>
      <c r="U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9:31" ht="12.75"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8:31" ht="13.5"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</sheetData>
  <mergeCells count="38">
    <mergeCell ref="Q36:S36"/>
    <mergeCell ref="O19:P19"/>
    <mergeCell ref="G28:H28"/>
    <mergeCell ref="I28:J28"/>
    <mergeCell ref="K28:L28"/>
    <mergeCell ref="M28:N28"/>
    <mergeCell ref="O28:P28"/>
    <mergeCell ref="G19:H19"/>
    <mergeCell ref="I19:J19"/>
    <mergeCell ref="K19:L19"/>
    <mergeCell ref="M19:N19"/>
    <mergeCell ref="A1:G1"/>
    <mergeCell ref="A2:G2"/>
    <mergeCell ref="A4:A6"/>
    <mergeCell ref="B4:B6"/>
    <mergeCell ref="E4:F5"/>
    <mergeCell ref="G5:H5"/>
    <mergeCell ref="C4:C6"/>
    <mergeCell ref="D4:D6"/>
    <mergeCell ref="AB4:AB6"/>
    <mergeCell ref="X4:Y4"/>
    <mergeCell ref="I5:J5"/>
    <mergeCell ref="K5:L5"/>
    <mergeCell ref="Z5:Z6"/>
    <mergeCell ref="G4:P4"/>
    <mergeCell ref="M5:N5"/>
    <mergeCell ref="Z4:AA4"/>
    <mergeCell ref="X5:X6"/>
    <mergeCell ref="AA5:AA6"/>
    <mergeCell ref="O5:P5"/>
    <mergeCell ref="Y5:Y6"/>
    <mergeCell ref="Q4:Q6"/>
    <mergeCell ref="R4:S5"/>
    <mergeCell ref="T4:W5"/>
    <mergeCell ref="T28:W28"/>
    <mergeCell ref="X28:Y28"/>
    <mergeCell ref="Z28:AA28"/>
    <mergeCell ref="Q28:S35"/>
  </mergeCells>
  <printOptions horizontalCentered="1"/>
  <pageMargins left="0" right="0" top="0" bottom="0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C54"/>
  <sheetViews>
    <sheetView workbookViewId="0" topLeftCell="A1">
      <pane xSplit="4" ySplit="14" topLeftCell="G27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W38" sqref="W38"/>
    </sheetView>
  </sheetViews>
  <sheetFormatPr defaultColWidth="8.88671875" defaultRowHeight="18.75"/>
  <cols>
    <col min="1" max="1" width="3.10546875" style="48" bestFit="1" customWidth="1"/>
    <col min="2" max="2" width="15.3359375" style="48" customWidth="1"/>
    <col min="3" max="3" width="3.99609375" style="48" customWidth="1"/>
    <col min="4" max="4" width="4.21484375" style="48" customWidth="1"/>
    <col min="5" max="5" width="5.88671875" style="48" customWidth="1"/>
    <col min="6" max="6" width="5.3359375" style="48" customWidth="1"/>
    <col min="7" max="7" width="5.6640625" style="48" customWidth="1"/>
    <col min="8" max="8" width="5.21484375" style="48" customWidth="1"/>
    <col min="9" max="9" width="5.6640625" style="48" customWidth="1"/>
    <col min="10" max="10" width="4.88671875" style="48" customWidth="1"/>
    <col min="11" max="11" width="5.5546875" style="48" customWidth="1"/>
    <col min="12" max="12" width="4.6640625" style="48" customWidth="1"/>
    <col min="13" max="13" width="5.77734375" style="48" customWidth="1"/>
    <col min="14" max="14" width="4.88671875" style="48" customWidth="1"/>
    <col min="15" max="15" width="5.6640625" style="48" customWidth="1"/>
    <col min="16" max="16" width="4.88671875" style="48" customWidth="1"/>
    <col min="17" max="17" width="4.99609375" style="48" customWidth="1"/>
    <col min="18" max="18" width="3.99609375" style="48" customWidth="1"/>
    <col min="19" max="19" width="3.77734375" style="48" customWidth="1"/>
    <col min="20" max="20" width="3.21484375" style="48" customWidth="1"/>
    <col min="21" max="21" width="4.10546875" style="48" customWidth="1"/>
    <col min="22" max="23" width="4.77734375" style="48" customWidth="1"/>
    <col min="24" max="24" width="4.10546875" style="48" customWidth="1"/>
    <col min="25" max="25" width="4.5546875" style="48" customWidth="1"/>
    <col min="26" max="26" width="4.77734375" style="48" customWidth="1"/>
    <col min="27" max="16384" width="8.88671875" style="48" customWidth="1"/>
  </cols>
  <sheetData>
    <row r="1" spans="1:26" ht="18.75">
      <c r="A1" s="440" t="s">
        <v>23</v>
      </c>
      <c r="B1" s="440"/>
      <c r="C1" s="440"/>
      <c r="D1" s="440"/>
      <c r="E1" s="440"/>
      <c r="F1" s="440"/>
      <c r="G1" s="440"/>
      <c r="M1" s="223"/>
      <c r="P1" s="224" t="s">
        <v>49</v>
      </c>
      <c r="Q1" s="223"/>
      <c r="R1" s="223"/>
      <c r="S1" s="223"/>
      <c r="T1" s="223"/>
      <c r="U1" s="223"/>
      <c r="V1" s="223"/>
      <c r="W1" s="223"/>
      <c r="X1" s="223"/>
      <c r="Y1" s="223"/>
      <c r="Z1" s="223"/>
    </row>
    <row r="2" spans="1:26" ht="15.75">
      <c r="A2" s="441" t="s">
        <v>24</v>
      </c>
      <c r="B2" s="441"/>
      <c r="C2" s="441"/>
      <c r="D2" s="441"/>
      <c r="E2" s="441"/>
      <c r="F2" s="441"/>
      <c r="G2" s="441"/>
      <c r="M2" s="225"/>
      <c r="P2" s="225" t="s">
        <v>143</v>
      </c>
      <c r="Q2" s="225"/>
      <c r="R2" s="225"/>
      <c r="S2" s="225"/>
      <c r="T2" s="225"/>
      <c r="U2" s="225"/>
      <c r="V2" s="225"/>
      <c r="W2" s="225"/>
      <c r="X2" s="225"/>
      <c r="Y2" s="225"/>
      <c r="Z2" s="225"/>
    </row>
    <row r="3" spans="2:26" ht="15.75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P3" s="226" t="s">
        <v>258</v>
      </c>
      <c r="Q3" s="226"/>
      <c r="R3" s="226"/>
      <c r="S3" s="226"/>
      <c r="T3" s="226"/>
      <c r="U3" s="226"/>
      <c r="V3" s="226"/>
      <c r="W3" s="226"/>
      <c r="X3" s="226"/>
      <c r="Y3" s="226"/>
      <c r="Z3" s="226"/>
    </row>
    <row r="4" spans="1:26" ht="18.75" customHeight="1">
      <c r="A4" s="442" t="s">
        <v>0</v>
      </c>
      <c r="B4" s="445" t="s">
        <v>63</v>
      </c>
      <c r="C4" s="448" t="s">
        <v>140</v>
      </c>
      <c r="D4" s="427" t="s">
        <v>167</v>
      </c>
      <c r="E4" s="446" t="s">
        <v>28</v>
      </c>
      <c r="F4" s="433"/>
      <c r="G4" s="430" t="s">
        <v>25</v>
      </c>
      <c r="H4" s="430"/>
      <c r="I4" s="430"/>
      <c r="J4" s="430"/>
      <c r="K4" s="430"/>
      <c r="L4" s="430"/>
      <c r="M4" s="430"/>
      <c r="N4" s="430"/>
      <c r="O4" s="433" t="s">
        <v>157</v>
      </c>
      <c r="P4" s="436" t="s">
        <v>32</v>
      </c>
      <c r="Q4" s="437"/>
      <c r="R4" s="446" t="s">
        <v>161</v>
      </c>
      <c r="S4" s="453"/>
      <c r="T4" s="453"/>
      <c r="U4" s="433"/>
      <c r="V4" s="430" t="s">
        <v>26</v>
      </c>
      <c r="W4" s="430"/>
      <c r="X4" s="431" t="s">
        <v>160</v>
      </c>
      <c r="Y4" s="432"/>
      <c r="Z4" s="427" t="s">
        <v>27</v>
      </c>
    </row>
    <row r="5" spans="1:26" ht="20.25" customHeight="1">
      <c r="A5" s="443"/>
      <c r="B5" s="445"/>
      <c r="C5" s="449"/>
      <c r="D5" s="428"/>
      <c r="E5" s="447"/>
      <c r="F5" s="435"/>
      <c r="G5" s="431" t="s">
        <v>59</v>
      </c>
      <c r="H5" s="432"/>
      <c r="I5" s="431" t="s">
        <v>60</v>
      </c>
      <c r="J5" s="432"/>
      <c r="K5" s="431" t="s">
        <v>61</v>
      </c>
      <c r="L5" s="432"/>
      <c r="M5" s="431" t="s">
        <v>62</v>
      </c>
      <c r="N5" s="432"/>
      <c r="O5" s="434"/>
      <c r="P5" s="438"/>
      <c r="Q5" s="439"/>
      <c r="R5" s="447"/>
      <c r="S5" s="454"/>
      <c r="T5" s="454"/>
      <c r="U5" s="435"/>
      <c r="V5" s="430" t="s">
        <v>34</v>
      </c>
      <c r="W5" s="430" t="s">
        <v>33</v>
      </c>
      <c r="X5" s="430" t="s">
        <v>34</v>
      </c>
      <c r="Y5" s="445" t="s">
        <v>157</v>
      </c>
      <c r="Z5" s="428"/>
    </row>
    <row r="6" spans="1:26" ht="39" customHeight="1">
      <c r="A6" s="444"/>
      <c r="B6" s="445"/>
      <c r="C6" s="450"/>
      <c r="D6" s="429"/>
      <c r="E6" s="227" t="s">
        <v>35</v>
      </c>
      <c r="F6" s="228" t="s">
        <v>36</v>
      </c>
      <c r="G6" s="227" t="s">
        <v>35</v>
      </c>
      <c r="H6" s="228" t="s">
        <v>36</v>
      </c>
      <c r="I6" s="227" t="s">
        <v>35</v>
      </c>
      <c r="J6" s="228" t="s">
        <v>36</v>
      </c>
      <c r="K6" s="227" t="s">
        <v>35</v>
      </c>
      <c r="L6" s="228" t="s">
        <v>36</v>
      </c>
      <c r="M6" s="227" t="s">
        <v>35</v>
      </c>
      <c r="N6" s="228" t="s">
        <v>36</v>
      </c>
      <c r="O6" s="435"/>
      <c r="P6" s="228" t="s">
        <v>158</v>
      </c>
      <c r="Q6" s="228" t="s">
        <v>157</v>
      </c>
      <c r="R6" s="227" t="s">
        <v>164</v>
      </c>
      <c r="S6" s="227" t="s">
        <v>163</v>
      </c>
      <c r="T6" s="227" t="s">
        <v>165</v>
      </c>
      <c r="U6" s="227" t="s">
        <v>162</v>
      </c>
      <c r="V6" s="430"/>
      <c r="W6" s="430"/>
      <c r="X6" s="430"/>
      <c r="Y6" s="430"/>
      <c r="Z6" s="429"/>
    </row>
    <row r="7" spans="1:26" s="235" customFormat="1" ht="18.75" customHeight="1">
      <c r="A7" s="229" t="s">
        <v>133</v>
      </c>
      <c r="B7" s="230" t="s">
        <v>55</v>
      </c>
      <c r="C7" s="231">
        <f>C8+C16</f>
        <v>5</v>
      </c>
      <c r="D7" s="232">
        <f>D8+D16</f>
        <v>63</v>
      </c>
      <c r="E7" s="233">
        <f>E8+E16</f>
        <v>36389</v>
      </c>
      <c r="F7" s="232">
        <f aca="true" t="shared" si="0" ref="F7:Z7">F8+F16</f>
        <v>1113</v>
      </c>
      <c r="G7" s="233">
        <f t="shared" si="0"/>
        <v>10687</v>
      </c>
      <c r="H7" s="232">
        <f t="shared" si="0"/>
        <v>315</v>
      </c>
      <c r="I7" s="233">
        <f t="shared" si="0"/>
        <v>9858</v>
      </c>
      <c r="J7" s="232">
        <f t="shared" si="0"/>
        <v>295</v>
      </c>
      <c r="K7" s="233">
        <f t="shared" si="0"/>
        <v>8368</v>
      </c>
      <c r="L7" s="232">
        <f t="shared" si="0"/>
        <v>259</v>
      </c>
      <c r="M7" s="233">
        <f t="shared" si="0"/>
        <v>7476</v>
      </c>
      <c r="N7" s="232">
        <f t="shared" si="0"/>
        <v>244</v>
      </c>
      <c r="O7" s="232">
        <f>O8+O16</f>
        <v>18907</v>
      </c>
      <c r="P7" s="233">
        <f t="shared" si="0"/>
        <v>9124</v>
      </c>
      <c r="Q7" s="234">
        <f t="shared" si="0"/>
        <v>4923</v>
      </c>
      <c r="R7" s="232">
        <f>R8+R16</f>
        <v>728</v>
      </c>
      <c r="S7" s="232">
        <f>S8+S16</f>
        <v>88</v>
      </c>
      <c r="T7" s="232">
        <f>T8+T16</f>
        <v>48</v>
      </c>
      <c r="U7" s="232">
        <f>U8+U16</f>
        <v>1</v>
      </c>
      <c r="V7" s="232">
        <f t="shared" si="0"/>
        <v>2023</v>
      </c>
      <c r="W7" s="232">
        <f t="shared" si="0"/>
        <v>1287</v>
      </c>
      <c r="X7" s="232">
        <f t="shared" si="0"/>
        <v>153</v>
      </c>
      <c r="Y7" s="232">
        <f t="shared" si="0"/>
        <v>54</v>
      </c>
      <c r="Z7" s="232">
        <f t="shared" si="0"/>
        <v>2611</v>
      </c>
    </row>
    <row r="8" spans="1:26" s="235" customFormat="1" ht="18.75" customHeight="1">
      <c r="A8" s="236" t="s">
        <v>52</v>
      </c>
      <c r="B8" s="237" t="s">
        <v>129</v>
      </c>
      <c r="C8" s="238">
        <f>SUM(C9:C15)</f>
        <v>5</v>
      </c>
      <c r="D8" s="239">
        <f>SUM(D9:D15)</f>
        <v>60</v>
      </c>
      <c r="E8" s="239">
        <f>G8+I8+K8+M8</f>
        <v>35728</v>
      </c>
      <c r="F8" s="239">
        <f>H8+J8+L8+N8</f>
        <v>1089</v>
      </c>
      <c r="G8" s="239">
        <f>SUM(G9:G15)</f>
        <v>10487</v>
      </c>
      <c r="H8" s="239">
        <f aca="true" t="shared" si="1" ref="H8:Z8">SUM(H9:H15)</f>
        <v>309</v>
      </c>
      <c r="I8" s="239">
        <f t="shared" si="1"/>
        <v>9684</v>
      </c>
      <c r="J8" s="239">
        <f t="shared" si="1"/>
        <v>289</v>
      </c>
      <c r="K8" s="239">
        <f t="shared" si="1"/>
        <v>8231</v>
      </c>
      <c r="L8" s="239">
        <f t="shared" si="1"/>
        <v>253</v>
      </c>
      <c r="M8" s="239">
        <f t="shared" si="1"/>
        <v>7326</v>
      </c>
      <c r="N8" s="239">
        <f t="shared" si="1"/>
        <v>238</v>
      </c>
      <c r="O8" s="239">
        <f>SUM(O9:O15)</f>
        <v>18466</v>
      </c>
      <c r="P8" s="239">
        <f t="shared" si="1"/>
        <v>8455</v>
      </c>
      <c r="Q8" s="239">
        <f t="shared" si="1"/>
        <v>4486</v>
      </c>
      <c r="R8" s="239">
        <f>SUM(R9:R15)</f>
        <v>699</v>
      </c>
      <c r="S8" s="239">
        <f>SUM(S9:S15)</f>
        <v>82</v>
      </c>
      <c r="T8" s="239">
        <f>SUM(T9:T15)</f>
        <v>45</v>
      </c>
      <c r="U8" s="239">
        <f>SUM(U9:U15)</f>
        <v>0</v>
      </c>
      <c r="V8" s="239">
        <f t="shared" si="1"/>
        <v>1978</v>
      </c>
      <c r="W8" s="239">
        <f t="shared" si="1"/>
        <v>1266</v>
      </c>
      <c r="X8" s="239">
        <f t="shared" si="1"/>
        <v>144</v>
      </c>
      <c r="Y8" s="239">
        <f t="shared" si="1"/>
        <v>50</v>
      </c>
      <c r="Z8" s="239">
        <f t="shared" si="1"/>
        <v>2504</v>
      </c>
    </row>
    <row r="9" spans="1:26" ht="12.75">
      <c r="A9" s="46">
        <v>1</v>
      </c>
      <c r="B9" s="47" t="s">
        <v>37</v>
      </c>
      <c r="C9" s="47"/>
      <c r="D9" s="240">
        <v>9</v>
      </c>
      <c r="E9" s="241">
        <f aca="true" t="shared" si="2" ref="E9:E15">G9+I9+K9+M9</f>
        <v>1203</v>
      </c>
      <c r="F9" s="241">
        <f aca="true" t="shared" si="3" ref="F9:F16">H9+J9+L9+N9</f>
        <v>54</v>
      </c>
      <c r="G9" s="99">
        <v>399</v>
      </c>
      <c r="H9" s="99">
        <v>16</v>
      </c>
      <c r="I9" s="99">
        <v>321</v>
      </c>
      <c r="J9" s="99">
        <v>14</v>
      </c>
      <c r="K9" s="99">
        <v>282</v>
      </c>
      <c r="L9" s="99">
        <v>14</v>
      </c>
      <c r="M9" s="99">
        <v>201</v>
      </c>
      <c r="N9" s="99">
        <v>10</v>
      </c>
      <c r="O9" s="99">
        <v>686</v>
      </c>
      <c r="P9" s="99">
        <v>1107</v>
      </c>
      <c r="Q9" s="47">
        <v>649</v>
      </c>
      <c r="R9" s="99">
        <v>59</v>
      </c>
      <c r="S9" s="99">
        <v>5</v>
      </c>
      <c r="T9" s="99">
        <v>7</v>
      </c>
      <c r="U9" s="99">
        <v>0</v>
      </c>
      <c r="V9" s="99">
        <v>113</v>
      </c>
      <c r="W9" s="99">
        <v>69</v>
      </c>
      <c r="X9" s="47">
        <v>20</v>
      </c>
      <c r="Y9" s="47">
        <v>6</v>
      </c>
      <c r="Z9" s="99">
        <v>193</v>
      </c>
    </row>
    <row r="10" spans="1:26" ht="12.75">
      <c r="A10" s="46">
        <v>2</v>
      </c>
      <c r="B10" s="47" t="s">
        <v>38</v>
      </c>
      <c r="C10" s="47"/>
      <c r="D10" s="240">
        <v>11</v>
      </c>
      <c r="E10" s="99">
        <f t="shared" si="2"/>
        <v>5837</v>
      </c>
      <c r="F10" s="99">
        <f t="shared" si="3"/>
        <v>179</v>
      </c>
      <c r="G10" s="99">
        <v>1801</v>
      </c>
      <c r="H10" s="99">
        <v>52</v>
      </c>
      <c r="I10" s="99">
        <v>1658</v>
      </c>
      <c r="J10" s="99">
        <v>50</v>
      </c>
      <c r="K10" s="99">
        <v>1237</v>
      </c>
      <c r="L10" s="99">
        <v>39</v>
      </c>
      <c r="M10" s="99">
        <v>1141</v>
      </c>
      <c r="N10" s="99">
        <v>38</v>
      </c>
      <c r="O10" s="99">
        <v>3178</v>
      </c>
      <c r="P10" s="99">
        <v>555</v>
      </c>
      <c r="Q10" s="47">
        <v>274</v>
      </c>
      <c r="R10" s="99">
        <v>124</v>
      </c>
      <c r="S10" s="99">
        <v>22</v>
      </c>
      <c r="T10" s="99">
        <v>11</v>
      </c>
      <c r="U10" s="99">
        <v>0</v>
      </c>
      <c r="V10" s="99">
        <v>318</v>
      </c>
      <c r="W10" s="99">
        <v>212</v>
      </c>
      <c r="X10" s="47">
        <v>21</v>
      </c>
      <c r="Y10" s="47">
        <v>13</v>
      </c>
      <c r="Z10" s="99">
        <v>407</v>
      </c>
    </row>
    <row r="11" spans="1:26" ht="12.75">
      <c r="A11" s="46">
        <v>3</v>
      </c>
      <c r="B11" s="47" t="s">
        <v>40</v>
      </c>
      <c r="C11" s="47"/>
      <c r="D11" s="240">
        <v>10</v>
      </c>
      <c r="E11" s="241">
        <f t="shared" si="2"/>
        <v>8488</v>
      </c>
      <c r="F11" s="241">
        <f t="shared" si="3"/>
        <v>244</v>
      </c>
      <c r="G11" s="99">
        <v>2524</v>
      </c>
      <c r="H11" s="99">
        <v>69</v>
      </c>
      <c r="I11" s="99">
        <v>2223</v>
      </c>
      <c r="J11" s="99">
        <v>63</v>
      </c>
      <c r="K11" s="99">
        <v>1902</v>
      </c>
      <c r="L11" s="99">
        <v>57</v>
      </c>
      <c r="M11" s="99">
        <v>1839</v>
      </c>
      <c r="N11" s="99">
        <v>55</v>
      </c>
      <c r="O11" s="99">
        <v>4350</v>
      </c>
      <c r="P11" s="99">
        <v>3404</v>
      </c>
      <c r="Q11" s="47">
        <v>1712</v>
      </c>
      <c r="R11" s="99">
        <v>143</v>
      </c>
      <c r="S11" s="99">
        <v>9</v>
      </c>
      <c r="T11" s="99">
        <v>9</v>
      </c>
      <c r="U11" s="99">
        <v>0</v>
      </c>
      <c r="V11" s="99">
        <v>482</v>
      </c>
      <c r="W11" s="99">
        <v>280</v>
      </c>
      <c r="X11" s="47">
        <v>35</v>
      </c>
      <c r="Y11" s="47">
        <v>6</v>
      </c>
      <c r="Z11" s="99">
        <v>586</v>
      </c>
    </row>
    <row r="12" spans="1:26" s="49" customFormat="1" ht="12.75">
      <c r="A12" s="293">
        <v>4</v>
      </c>
      <c r="B12" s="30" t="s">
        <v>15</v>
      </c>
      <c r="C12" s="293">
        <v>1</v>
      </c>
      <c r="D12" s="295">
        <v>8</v>
      </c>
      <c r="E12" s="296">
        <f t="shared" si="2"/>
        <v>4793</v>
      </c>
      <c r="F12" s="296">
        <f t="shared" si="3"/>
        <v>139</v>
      </c>
      <c r="G12" s="294">
        <v>1198</v>
      </c>
      <c r="H12" s="294">
        <v>36</v>
      </c>
      <c r="I12" s="294">
        <v>1324</v>
      </c>
      <c r="J12" s="294">
        <v>38</v>
      </c>
      <c r="K12" s="294">
        <v>1234</v>
      </c>
      <c r="L12" s="294">
        <v>35</v>
      </c>
      <c r="M12" s="294">
        <v>1037</v>
      </c>
      <c r="N12" s="294">
        <v>30</v>
      </c>
      <c r="O12" s="294">
        <v>2435</v>
      </c>
      <c r="P12" s="294">
        <v>781</v>
      </c>
      <c r="Q12" s="30">
        <v>479</v>
      </c>
      <c r="R12" s="294">
        <v>111</v>
      </c>
      <c r="S12" s="294">
        <v>10</v>
      </c>
      <c r="T12" s="294">
        <v>6</v>
      </c>
      <c r="U12" s="294">
        <v>0</v>
      </c>
      <c r="V12" s="294">
        <f>263+2</f>
        <v>265</v>
      </c>
      <c r="W12" s="294">
        <v>175</v>
      </c>
      <c r="X12" s="30">
        <v>17</v>
      </c>
      <c r="Y12" s="30">
        <v>5</v>
      </c>
      <c r="Z12" s="294">
        <v>323</v>
      </c>
    </row>
    <row r="13" spans="1:26" ht="12.75">
      <c r="A13" s="46">
        <v>5</v>
      </c>
      <c r="B13" s="47" t="s">
        <v>14</v>
      </c>
      <c r="C13" s="46">
        <v>2</v>
      </c>
      <c r="D13" s="240">
        <v>9</v>
      </c>
      <c r="E13" s="241">
        <f t="shared" si="2"/>
        <v>10075</v>
      </c>
      <c r="F13" s="241">
        <f t="shared" si="3"/>
        <v>304</v>
      </c>
      <c r="G13" s="99">
        <v>2733</v>
      </c>
      <c r="H13" s="99">
        <v>83</v>
      </c>
      <c r="I13" s="99">
        <v>2733</v>
      </c>
      <c r="J13" s="99">
        <v>81</v>
      </c>
      <c r="K13" s="99">
        <v>2464</v>
      </c>
      <c r="L13" s="99">
        <v>72</v>
      </c>
      <c r="M13" s="99">
        <v>2145</v>
      </c>
      <c r="N13" s="99">
        <v>68</v>
      </c>
      <c r="O13" s="99">
        <v>5001</v>
      </c>
      <c r="P13" s="99">
        <v>214</v>
      </c>
      <c r="Q13" s="47">
        <v>107</v>
      </c>
      <c r="R13" s="99">
        <v>144</v>
      </c>
      <c r="S13" s="99">
        <v>25</v>
      </c>
      <c r="T13" s="99">
        <v>8</v>
      </c>
      <c r="U13" s="99">
        <v>0</v>
      </c>
      <c r="V13" s="99">
        <f>503+5</f>
        <v>508</v>
      </c>
      <c r="W13" s="99">
        <f>378+2</f>
        <v>380</v>
      </c>
      <c r="X13" s="47">
        <f>9+17</f>
        <v>26</v>
      </c>
      <c r="Y13" s="47">
        <f>3+8</f>
        <v>11</v>
      </c>
      <c r="Z13" s="99">
        <v>599</v>
      </c>
    </row>
    <row r="14" spans="1:26" ht="12.75">
      <c r="A14" s="46">
        <v>6</v>
      </c>
      <c r="B14" s="47" t="s">
        <v>39</v>
      </c>
      <c r="C14" s="46">
        <v>2</v>
      </c>
      <c r="D14" s="240">
        <v>6</v>
      </c>
      <c r="E14" s="241">
        <f t="shared" si="2"/>
        <v>1824</v>
      </c>
      <c r="F14" s="241">
        <f t="shared" si="3"/>
        <v>67</v>
      </c>
      <c r="G14" s="99">
        <v>619</v>
      </c>
      <c r="H14" s="99">
        <v>22</v>
      </c>
      <c r="I14" s="99">
        <v>507</v>
      </c>
      <c r="J14" s="99">
        <v>18</v>
      </c>
      <c r="K14" s="99">
        <v>372</v>
      </c>
      <c r="L14" s="99">
        <v>14</v>
      </c>
      <c r="M14" s="99">
        <v>326</v>
      </c>
      <c r="N14" s="99">
        <v>13</v>
      </c>
      <c r="O14" s="99">
        <v>1008</v>
      </c>
      <c r="P14" s="99">
        <v>1111</v>
      </c>
      <c r="Q14" s="47">
        <v>651</v>
      </c>
      <c r="R14" s="99">
        <v>49</v>
      </c>
      <c r="S14" s="99">
        <v>11</v>
      </c>
      <c r="T14" s="99">
        <v>4</v>
      </c>
      <c r="U14" s="99">
        <v>0</v>
      </c>
      <c r="V14" s="99">
        <v>121</v>
      </c>
      <c r="W14" s="99">
        <v>75</v>
      </c>
      <c r="X14" s="47">
        <v>12</v>
      </c>
      <c r="Y14" s="47">
        <v>7</v>
      </c>
      <c r="Z14" s="99">
        <v>169</v>
      </c>
    </row>
    <row r="15" spans="1:26" ht="12.75">
      <c r="A15" s="46">
        <v>7</v>
      </c>
      <c r="B15" s="47" t="s">
        <v>47</v>
      </c>
      <c r="C15" s="47"/>
      <c r="D15" s="240">
        <v>7</v>
      </c>
      <c r="E15" s="241">
        <f t="shared" si="2"/>
        <v>3508</v>
      </c>
      <c r="F15" s="241">
        <f t="shared" si="3"/>
        <v>102</v>
      </c>
      <c r="G15" s="99">
        <v>1213</v>
      </c>
      <c r="H15" s="99">
        <v>31</v>
      </c>
      <c r="I15" s="99">
        <v>918</v>
      </c>
      <c r="J15" s="99">
        <v>25</v>
      </c>
      <c r="K15" s="99">
        <v>740</v>
      </c>
      <c r="L15" s="99">
        <v>22</v>
      </c>
      <c r="M15" s="99">
        <v>637</v>
      </c>
      <c r="N15" s="99">
        <v>24</v>
      </c>
      <c r="O15" s="99">
        <v>1808</v>
      </c>
      <c r="P15" s="99">
        <v>1283</v>
      </c>
      <c r="Q15" s="47">
        <v>614</v>
      </c>
      <c r="R15" s="99">
        <v>69</v>
      </c>
      <c r="S15" s="99"/>
      <c r="T15" s="99"/>
      <c r="U15" s="99"/>
      <c r="V15" s="99">
        <v>171</v>
      </c>
      <c r="W15" s="99">
        <v>75</v>
      </c>
      <c r="X15" s="47">
        <v>13</v>
      </c>
      <c r="Y15" s="47">
        <v>2</v>
      </c>
      <c r="Z15" s="99">
        <v>227</v>
      </c>
    </row>
    <row r="16" spans="1:26" ht="15.75" customHeight="1">
      <c r="A16" s="236" t="s">
        <v>53</v>
      </c>
      <c r="B16" s="237" t="s">
        <v>54</v>
      </c>
      <c r="C16" s="237"/>
      <c r="D16" s="242">
        <f>SUM(D17:D19)</f>
        <v>3</v>
      </c>
      <c r="E16" s="243">
        <f>G16+I16+K16+M16</f>
        <v>661</v>
      </c>
      <c r="F16" s="243">
        <f t="shared" si="3"/>
        <v>24</v>
      </c>
      <c r="G16" s="243">
        <f>SUM(G17:G19)</f>
        <v>200</v>
      </c>
      <c r="H16" s="243">
        <f>SUM(H17:H19)</f>
        <v>6</v>
      </c>
      <c r="I16" s="243">
        <f>SUM(I17:I19)</f>
        <v>174</v>
      </c>
      <c r="J16" s="243">
        <f>SUM(J17:J19)</f>
        <v>6</v>
      </c>
      <c r="K16" s="243">
        <f aca="true" t="shared" si="4" ref="K16:Y16">SUM(K17:K19)</f>
        <v>137</v>
      </c>
      <c r="L16" s="243">
        <f t="shared" si="4"/>
        <v>6</v>
      </c>
      <c r="M16" s="243">
        <f t="shared" si="4"/>
        <v>150</v>
      </c>
      <c r="N16" s="243">
        <f t="shared" si="4"/>
        <v>6</v>
      </c>
      <c r="O16" s="243">
        <f>SUM(O17:O19)</f>
        <v>441</v>
      </c>
      <c r="P16" s="243">
        <f t="shared" si="4"/>
        <v>669</v>
      </c>
      <c r="Q16" s="243">
        <f t="shared" si="4"/>
        <v>437</v>
      </c>
      <c r="R16" s="243">
        <f>SUM(R17:R19)</f>
        <v>29</v>
      </c>
      <c r="S16" s="243">
        <f>SUM(S17:S19)</f>
        <v>6</v>
      </c>
      <c r="T16" s="243">
        <f>SUM(T17:T19)</f>
        <v>3</v>
      </c>
      <c r="U16" s="243">
        <f>SUM(U17:U19)</f>
        <v>1</v>
      </c>
      <c r="V16" s="243">
        <f t="shared" si="4"/>
        <v>45</v>
      </c>
      <c r="W16" s="243">
        <f t="shared" si="4"/>
        <v>21</v>
      </c>
      <c r="X16" s="243">
        <f t="shared" si="4"/>
        <v>9</v>
      </c>
      <c r="Y16" s="243">
        <f t="shared" si="4"/>
        <v>4</v>
      </c>
      <c r="Z16" s="243">
        <f>SUM(Z17:Z19)</f>
        <v>107</v>
      </c>
    </row>
    <row r="17" spans="1:26" ht="12.75">
      <c r="A17" s="46">
        <v>1</v>
      </c>
      <c r="B17" s="47" t="s">
        <v>57</v>
      </c>
      <c r="C17" s="47"/>
      <c r="D17" s="240">
        <v>1</v>
      </c>
      <c r="E17" s="241">
        <f>G17+I17+K17+M17</f>
        <v>175</v>
      </c>
      <c r="F17" s="241">
        <f>H17+J17+L17+N17</f>
        <v>7</v>
      </c>
      <c r="G17" s="99">
        <v>48</v>
      </c>
      <c r="H17" s="99">
        <v>2</v>
      </c>
      <c r="I17" s="99">
        <v>57</v>
      </c>
      <c r="J17" s="99">
        <v>2</v>
      </c>
      <c r="K17" s="99">
        <v>38</v>
      </c>
      <c r="L17" s="99">
        <v>2</v>
      </c>
      <c r="M17" s="99">
        <v>32</v>
      </c>
      <c r="N17" s="99">
        <v>1</v>
      </c>
      <c r="O17" s="99">
        <v>117</v>
      </c>
      <c r="P17" s="99">
        <v>175</v>
      </c>
      <c r="Q17" s="47">
        <v>117</v>
      </c>
      <c r="R17" s="99">
        <v>12</v>
      </c>
      <c r="S17" s="99">
        <v>2</v>
      </c>
      <c r="T17" s="99">
        <v>1</v>
      </c>
      <c r="U17" s="99">
        <v>0</v>
      </c>
      <c r="V17" s="99">
        <v>12</v>
      </c>
      <c r="W17" s="99">
        <v>7</v>
      </c>
      <c r="X17" s="47">
        <v>3</v>
      </c>
      <c r="Y17" s="47">
        <v>2</v>
      </c>
      <c r="Z17" s="99">
        <v>30</v>
      </c>
    </row>
    <row r="18" spans="1:26" ht="12.75">
      <c r="A18" s="46">
        <v>2</v>
      </c>
      <c r="B18" s="47" t="s">
        <v>56</v>
      </c>
      <c r="C18" s="47"/>
      <c r="D18" s="240">
        <v>1</v>
      </c>
      <c r="E18" s="241">
        <f>G18+I18+K18+M18</f>
        <v>229</v>
      </c>
      <c r="F18" s="241">
        <f>H18+J18+L18+N18</f>
        <v>8</v>
      </c>
      <c r="G18" s="99">
        <v>78</v>
      </c>
      <c r="H18" s="99">
        <v>2</v>
      </c>
      <c r="I18" s="99">
        <v>60</v>
      </c>
      <c r="J18" s="99">
        <v>2</v>
      </c>
      <c r="K18" s="99">
        <v>49</v>
      </c>
      <c r="L18" s="99">
        <v>2</v>
      </c>
      <c r="M18" s="99">
        <v>42</v>
      </c>
      <c r="N18" s="99">
        <v>2</v>
      </c>
      <c r="O18" s="99">
        <v>159</v>
      </c>
      <c r="P18" s="99">
        <v>219</v>
      </c>
      <c r="Q18" s="47">
        <v>155</v>
      </c>
      <c r="R18" s="99">
        <v>8</v>
      </c>
      <c r="S18" s="99">
        <v>1</v>
      </c>
      <c r="T18" s="99">
        <v>1</v>
      </c>
      <c r="U18" s="99">
        <v>0</v>
      </c>
      <c r="V18" s="99">
        <v>14</v>
      </c>
      <c r="W18" s="99">
        <v>8</v>
      </c>
      <c r="X18" s="47">
        <v>3</v>
      </c>
      <c r="Y18" s="47">
        <v>1</v>
      </c>
      <c r="Z18" s="99">
        <v>44</v>
      </c>
    </row>
    <row r="19" spans="1:26" ht="12.75">
      <c r="A19" s="46">
        <v>3</v>
      </c>
      <c r="B19" s="47" t="s">
        <v>58</v>
      </c>
      <c r="C19" s="47"/>
      <c r="D19" s="240">
        <v>1</v>
      </c>
      <c r="E19" s="241">
        <f>G19+I19+K19+M19</f>
        <v>257</v>
      </c>
      <c r="F19" s="241">
        <f>H19+J19+L19+N19</f>
        <v>9</v>
      </c>
      <c r="G19" s="99">
        <v>74</v>
      </c>
      <c r="H19" s="99">
        <v>2</v>
      </c>
      <c r="I19" s="99">
        <v>57</v>
      </c>
      <c r="J19" s="99">
        <v>2</v>
      </c>
      <c r="K19" s="99">
        <v>50</v>
      </c>
      <c r="L19" s="99">
        <v>2</v>
      </c>
      <c r="M19" s="99">
        <v>76</v>
      </c>
      <c r="N19" s="99">
        <v>3</v>
      </c>
      <c r="O19" s="99">
        <v>165</v>
      </c>
      <c r="P19" s="99">
        <v>275</v>
      </c>
      <c r="Q19" s="47">
        <v>165</v>
      </c>
      <c r="R19" s="99">
        <v>9</v>
      </c>
      <c r="S19" s="99">
        <v>3</v>
      </c>
      <c r="T19" s="99">
        <v>1</v>
      </c>
      <c r="U19" s="99">
        <v>1</v>
      </c>
      <c r="V19" s="99">
        <v>19</v>
      </c>
      <c r="W19" s="99">
        <v>6</v>
      </c>
      <c r="X19" s="47">
        <v>3</v>
      </c>
      <c r="Y19" s="47">
        <v>1</v>
      </c>
      <c r="Z19" s="99">
        <v>33</v>
      </c>
    </row>
    <row r="20" spans="1:26" s="249" customFormat="1" ht="15">
      <c r="A20" s="244" t="s">
        <v>134</v>
      </c>
      <c r="B20" s="245" t="s">
        <v>131</v>
      </c>
      <c r="C20" s="244" t="s">
        <v>154</v>
      </c>
      <c r="D20" s="246">
        <f>SUM(D21:D32)</f>
        <v>5</v>
      </c>
      <c r="E20" s="247">
        <f>SUM(E21:E32)</f>
        <v>2203</v>
      </c>
      <c r="F20" s="248">
        <f aca="true" t="shared" si="5" ref="F20:Z20">SUM(F21:F32)</f>
        <v>87</v>
      </c>
      <c r="G20" s="247">
        <f t="shared" si="5"/>
        <v>750</v>
      </c>
      <c r="H20" s="248">
        <f t="shared" si="5"/>
        <v>28</v>
      </c>
      <c r="I20" s="247">
        <f t="shared" si="5"/>
        <v>582</v>
      </c>
      <c r="J20" s="248">
        <f t="shared" si="5"/>
        <v>22</v>
      </c>
      <c r="K20" s="247">
        <f t="shared" si="5"/>
        <v>518</v>
      </c>
      <c r="L20" s="248">
        <f t="shared" si="5"/>
        <v>21</v>
      </c>
      <c r="M20" s="247">
        <f t="shared" si="5"/>
        <v>353</v>
      </c>
      <c r="N20" s="248">
        <f t="shared" si="5"/>
        <v>16</v>
      </c>
      <c r="O20" s="247">
        <f>SUM(Q21:Q32)</f>
        <v>1141</v>
      </c>
      <c r="P20" s="247">
        <f t="shared" si="5"/>
        <v>1978</v>
      </c>
      <c r="Q20" s="248">
        <f t="shared" si="5"/>
        <v>1141</v>
      </c>
      <c r="R20" s="248">
        <f>SUM(Y21:Y32)</f>
        <v>8</v>
      </c>
      <c r="S20" s="248">
        <f>SUM(Z21:Z32)</f>
        <v>281</v>
      </c>
      <c r="T20" s="248">
        <f>SUM(AA21:AA32)</f>
        <v>0</v>
      </c>
      <c r="U20" s="248">
        <f>SUM(AB21:AB32)</f>
        <v>0</v>
      </c>
      <c r="V20" s="248">
        <f t="shared" si="5"/>
        <v>170</v>
      </c>
      <c r="W20" s="248">
        <f t="shared" si="5"/>
        <v>100</v>
      </c>
      <c r="X20" s="248">
        <f t="shared" si="5"/>
        <v>26</v>
      </c>
      <c r="Y20" s="248">
        <f t="shared" si="5"/>
        <v>8</v>
      </c>
      <c r="Z20" s="248">
        <f t="shared" si="5"/>
        <v>281</v>
      </c>
    </row>
    <row r="21" spans="1:26" ht="12.75">
      <c r="A21" s="46">
        <v>1</v>
      </c>
      <c r="B21" s="47" t="s">
        <v>168</v>
      </c>
      <c r="C21" s="46" t="s">
        <v>153</v>
      </c>
      <c r="D21" s="46">
        <v>1</v>
      </c>
      <c r="E21" s="241">
        <f aca="true" t="shared" si="6" ref="E21:F24">G21+I21+K21+M21</f>
        <v>114</v>
      </c>
      <c r="F21" s="241">
        <f t="shared" si="6"/>
        <v>4</v>
      </c>
      <c r="G21" s="99">
        <v>37</v>
      </c>
      <c r="H21" s="99">
        <v>1</v>
      </c>
      <c r="I21" s="99">
        <v>26</v>
      </c>
      <c r="J21" s="99">
        <v>1</v>
      </c>
      <c r="K21" s="99">
        <v>37</v>
      </c>
      <c r="L21" s="99">
        <v>1</v>
      </c>
      <c r="M21" s="99">
        <v>14</v>
      </c>
      <c r="N21" s="99">
        <v>1</v>
      </c>
      <c r="O21" s="99">
        <v>71</v>
      </c>
      <c r="P21" s="99">
        <v>112</v>
      </c>
      <c r="Q21" s="47">
        <v>69</v>
      </c>
      <c r="R21" s="99">
        <v>8</v>
      </c>
      <c r="S21" s="99">
        <v>0</v>
      </c>
      <c r="T21" s="99">
        <v>1</v>
      </c>
      <c r="U21" s="99">
        <v>0</v>
      </c>
      <c r="V21" s="99">
        <v>11</v>
      </c>
      <c r="W21" s="99">
        <v>8</v>
      </c>
      <c r="X21" s="47">
        <v>2</v>
      </c>
      <c r="Y21" s="47">
        <v>2</v>
      </c>
      <c r="Z21" s="99">
        <v>19</v>
      </c>
    </row>
    <row r="22" spans="1:26" ht="12.75">
      <c r="A22" s="46">
        <v>2</v>
      </c>
      <c r="B22" s="47" t="s">
        <v>169</v>
      </c>
      <c r="C22" s="46" t="s">
        <v>153</v>
      </c>
      <c r="D22" s="46">
        <v>1</v>
      </c>
      <c r="E22" s="241">
        <f t="shared" si="6"/>
        <v>90</v>
      </c>
      <c r="F22" s="241">
        <f t="shared" si="6"/>
        <v>5</v>
      </c>
      <c r="G22" s="99">
        <v>45</v>
      </c>
      <c r="H22" s="99">
        <v>2</v>
      </c>
      <c r="I22" s="99">
        <v>20</v>
      </c>
      <c r="J22" s="99">
        <v>1</v>
      </c>
      <c r="K22" s="99">
        <v>12</v>
      </c>
      <c r="L22" s="99">
        <v>1</v>
      </c>
      <c r="M22" s="99">
        <v>13</v>
      </c>
      <c r="N22" s="99">
        <v>1</v>
      </c>
      <c r="O22" s="99">
        <v>53</v>
      </c>
      <c r="P22" s="99">
        <v>90</v>
      </c>
      <c r="Q22" s="47">
        <v>53</v>
      </c>
      <c r="R22" s="99">
        <v>8</v>
      </c>
      <c r="S22" s="99">
        <v>0</v>
      </c>
      <c r="T22" s="99">
        <v>1</v>
      </c>
      <c r="U22" s="99">
        <v>0</v>
      </c>
      <c r="V22" s="99">
        <v>10</v>
      </c>
      <c r="W22" s="99">
        <v>9</v>
      </c>
      <c r="X22" s="47">
        <v>3</v>
      </c>
      <c r="Y22" s="47">
        <v>0</v>
      </c>
      <c r="Z22" s="99">
        <v>20</v>
      </c>
    </row>
    <row r="23" spans="1:26" ht="12.75">
      <c r="A23" s="46">
        <v>3</v>
      </c>
      <c r="B23" s="47" t="s">
        <v>170</v>
      </c>
      <c r="C23" s="46" t="s">
        <v>153</v>
      </c>
      <c r="D23" s="46">
        <v>1</v>
      </c>
      <c r="E23" s="241">
        <f t="shared" si="6"/>
        <v>189</v>
      </c>
      <c r="F23" s="241">
        <f t="shared" si="6"/>
        <v>7</v>
      </c>
      <c r="G23" s="99">
        <v>66</v>
      </c>
      <c r="H23" s="99">
        <v>2</v>
      </c>
      <c r="I23" s="99">
        <v>49</v>
      </c>
      <c r="J23" s="99">
        <v>2</v>
      </c>
      <c r="K23" s="99">
        <v>46</v>
      </c>
      <c r="L23" s="99">
        <v>2</v>
      </c>
      <c r="M23" s="99">
        <v>28</v>
      </c>
      <c r="N23" s="99">
        <v>1</v>
      </c>
      <c r="O23" s="99">
        <v>107</v>
      </c>
      <c r="P23" s="99">
        <v>166</v>
      </c>
      <c r="Q23" s="47">
        <v>100</v>
      </c>
      <c r="R23" s="99">
        <v>7</v>
      </c>
      <c r="S23" s="99">
        <v>2</v>
      </c>
      <c r="T23" s="99">
        <v>1</v>
      </c>
      <c r="U23" s="99">
        <v>0</v>
      </c>
      <c r="V23" s="99">
        <v>14</v>
      </c>
      <c r="W23" s="99">
        <v>7</v>
      </c>
      <c r="X23" s="47">
        <v>3</v>
      </c>
      <c r="Y23" s="47">
        <v>1</v>
      </c>
      <c r="Z23" s="99">
        <v>25</v>
      </c>
    </row>
    <row r="24" spans="1:26" ht="12.75">
      <c r="A24" s="46">
        <v>4</v>
      </c>
      <c r="B24" s="47" t="s">
        <v>171</v>
      </c>
      <c r="C24" s="46" t="s">
        <v>153</v>
      </c>
      <c r="D24" s="46">
        <v>1</v>
      </c>
      <c r="E24" s="241">
        <f t="shared" si="6"/>
        <v>269</v>
      </c>
      <c r="F24" s="241">
        <f t="shared" si="6"/>
        <v>11</v>
      </c>
      <c r="G24" s="99">
        <v>88</v>
      </c>
      <c r="H24" s="99">
        <v>3</v>
      </c>
      <c r="I24" s="99">
        <v>78</v>
      </c>
      <c r="J24" s="99">
        <v>3</v>
      </c>
      <c r="K24" s="99">
        <v>58</v>
      </c>
      <c r="L24" s="99">
        <v>3</v>
      </c>
      <c r="M24" s="99">
        <v>45</v>
      </c>
      <c r="N24" s="99">
        <v>2</v>
      </c>
      <c r="O24" s="99">
        <v>150</v>
      </c>
      <c r="P24" s="99">
        <v>258</v>
      </c>
      <c r="Q24" s="47">
        <v>142</v>
      </c>
      <c r="R24" s="99">
        <v>9</v>
      </c>
      <c r="S24" s="99">
        <v>2</v>
      </c>
      <c r="T24" s="99">
        <v>1</v>
      </c>
      <c r="U24" s="99">
        <v>0</v>
      </c>
      <c r="V24" s="99">
        <v>13</v>
      </c>
      <c r="W24" s="99">
        <v>6</v>
      </c>
      <c r="X24" s="47">
        <v>3</v>
      </c>
      <c r="Y24" s="47">
        <v>0</v>
      </c>
      <c r="Z24" s="99">
        <v>30</v>
      </c>
    </row>
    <row r="25" spans="1:26" ht="12.75">
      <c r="A25" s="46">
        <v>5</v>
      </c>
      <c r="B25" s="47" t="s">
        <v>176</v>
      </c>
      <c r="C25" s="46" t="s">
        <v>153</v>
      </c>
      <c r="D25" s="46">
        <v>1</v>
      </c>
      <c r="E25" s="241">
        <f>G25+I25+K25+M25</f>
        <v>157</v>
      </c>
      <c r="F25" s="241">
        <f>H25+J25+L25+N25</f>
        <v>6</v>
      </c>
      <c r="G25" s="99">
        <v>51</v>
      </c>
      <c r="H25" s="99">
        <v>2</v>
      </c>
      <c r="I25" s="99">
        <v>47</v>
      </c>
      <c r="J25" s="99">
        <v>2</v>
      </c>
      <c r="K25" s="99">
        <v>42</v>
      </c>
      <c r="L25" s="99">
        <v>1</v>
      </c>
      <c r="M25" s="99">
        <v>17</v>
      </c>
      <c r="N25" s="99">
        <v>1</v>
      </c>
      <c r="O25" s="99">
        <v>110</v>
      </c>
      <c r="P25" s="99">
        <v>154</v>
      </c>
      <c r="Q25" s="99">
        <v>109</v>
      </c>
      <c r="R25" s="99">
        <v>6</v>
      </c>
      <c r="S25" s="99">
        <v>0</v>
      </c>
      <c r="T25" s="99">
        <v>1</v>
      </c>
      <c r="U25" s="99">
        <v>0</v>
      </c>
      <c r="V25" s="99">
        <v>13</v>
      </c>
      <c r="W25" s="99">
        <v>8</v>
      </c>
      <c r="X25" s="99">
        <v>2</v>
      </c>
      <c r="Y25" s="99">
        <v>0</v>
      </c>
      <c r="Z25" s="99">
        <v>21</v>
      </c>
    </row>
    <row r="26" spans="1:26" ht="12.75">
      <c r="A26" s="46">
        <v>6</v>
      </c>
      <c r="B26" s="47" t="s">
        <v>172</v>
      </c>
      <c r="C26" s="47"/>
      <c r="D26" s="47"/>
      <c r="E26" s="241">
        <f aca="true" t="shared" si="7" ref="E26:E32">G26+I26+K26+M26</f>
        <v>135</v>
      </c>
      <c r="F26" s="241">
        <f aca="true" t="shared" si="8" ref="F26:F32">H26+J26+L26+N26</f>
        <v>6</v>
      </c>
      <c r="G26" s="99">
        <v>40</v>
      </c>
      <c r="H26" s="99">
        <v>2</v>
      </c>
      <c r="I26" s="99">
        <v>30</v>
      </c>
      <c r="J26" s="99">
        <v>1</v>
      </c>
      <c r="K26" s="99">
        <v>42</v>
      </c>
      <c r="L26" s="99">
        <v>2</v>
      </c>
      <c r="M26" s="99">
        <v>23</v>
      </c>
      <c r="N26" s="99">
        <v>1</v>
      </c>
      <c r="O26" s="99">
        <v>79</v>
      </c>
      <c r="P26" s="99">
        <v>129</v>
      </c>
      <c r="Q26" s="99">
        <v>77</v>
      </c>
      <c r="R26" s="99">
        <v>6</v>
      </c>
      <c r="S26" s="99">
        <v>0</v>
      </c>
      <c r="T26" s="99">
        <v>1</v>
      </c>
      <c r="U26" s="99">
        <v>0</v>
      </c>
      <c r="V26" s="99">
        <v>12</v>
      </c>
      <c r="W26" s="99">
        <v>7</v>
      </c>
      <c r="X26" s="99">
        <v>1</v>
      </c>
      <c r="Y26" s="99">
        <v>1</v>
      </c>
      <c r="Z26" s="99">
        <v>19</v>
      </c>
    </row>
    <row r="27" spans="1:26" ht="12.75">
      <c r="A27" s="46">
        <v>7</v>
      </c>
      <c r="B27" s="47" t="s">
        <v>173</v>
      </c>
      <c r="C27" s="47"/>
      <c r="D27" s="47"/>
      <c r="E27" s="241">
        <f t="shared" si="7"/>
        <v>69</v>
      </c>
      <c r="F27" s="241">
        <f t="shared" si="8"/>
        <v>4</v>
      </c>
      <c r="G27" s="99">
        <v>20</v>
      </c>
      <c r="H27" s="99">
        <v>1</v>
      </c>
      <c r="I27" s="99">
        <v>21</v>
      </c>
      <c r="J27" s="99">
        <v>1</v>
      </c>
      <c r="K27" s="99">
        <v>17</v>
      </c>
      <c r="L27" s="99">
        <v>1</v>
      </c>
      <c r="M27" s="99">
        <v>11</v>
      </c>
      <c r="N27" s="99">
        <v>1</v>
      </c>
      <c r="O27" s="99">
        <v>50</v>
      </c>
      <c r="P27" s="99">
        <v>63</v>
      </c>
      <c r="Q27" s="99">
        <v>48</v>
      </c>
      <c r="R27" s="99">
        <v>4</v>
      </c>
      <c r="S27" s="99">
        <v>0</v>
      </c>
      <c r="T27" s="99">
        <v>1</v>
      </c>
      <c r="U27" s="99">
        <v>0</v>
      </c>
      <c r="V27" s="99">
        <v>7</v>
      </c>
      <c r="W27" s="99">
        <v>5</v>
      </c>
      <c r="X27" s="99">
        <v>2</v>
      </c>
      <c r="Y27" s="99">
        <v>1</v>
      </c>
      <c r="Z27" s="99">
        <v>15</v>
      </c>
    </row>
    <row r="28" spans="1:26" ht="12.75">
      <c r="A28" s="46">
        <v>8</v>
      </c>
      <c r="B28" s="47" t="s">
        <v>174</v>
      </c>
      <c r="C28" s="47"/>
      <c r="D28" s="47"/>
      <c r="E28" s="241">
        <f t="shared" si="7"/>
        <v>183</v>
      </c>
      <c r="F28" s="241">
        <f t="shared" si="8"/>
        <v>8</v>
      </c>
      <c r="G28" s="99">
        <v>64</v>
      </c>
      <c r="H28" s="99">
        <v>3</v>
      </c>
      <c r="I28" s="99">
        <v>48</v>
      </c>
      <c r="J28" s="99">
        <v>2</v>
      </c>
      <c r="K28" s="99">
        <v>37</v>
      </c>
      <c r="L28" s="99">
        <v>2</v>
      </c>
      <c r="M28" s="99">
        <v>34</v>
      </c>
      <c r="N28" s="99">
        <v>1</v>
      </c>
      <c r="O28" s="99">
        <v>81</v>
      </c>
      <c r="P28" s="99">
        <v>147</v>
      </c>
      <c r="Q28" s="99">
        <v>72</v>
      </c>
      <c r="R28" s="99">
        <v>18</v>
      </c>
      <c r="S28" s="99">
        <v>2</v>
      </c>
      <c r="T28" s="99">
        <v>1</v>
      </c>
      <c r="U28" s="99">
        <v>0</v>
      </c>
      <c r="V28" s="99">
        <v>15</v>
      </c>
      <c r="W28" s="99">
        <v>12</v>
      </c>
      <c r="X28" s="99">
        <v>2</v>
      </c>
      <c r="Y28" s="99">
        <v>0</v>
      </c>
      <c r="Z28" s="99">
        <v>25</v>
      </c>
    </row>
    <row r="29" spans="1:26" ht="12.75">
      <c r="A29" s="46">
        <v>9</v>
      </c>
      <c r="B29" s="47" t="s">
        <v>175</v>
      </c>
      <c r="C29" s="47"/>
      <c r="D29" s="47"/>
      <c r="E29" s="241">
        <f t="shared" si="7"/>
        <v>182</v>
      </c>
      <c r="F29" s="241">
        <f t="shared" si="8"/>
        <v>7</v>
      </c>
      <c r="G29" s="99">
        <v>58</v>
      </c>
      <c r="H29" s="99">
        <v>2</v>
      </c>
      <c r="I29" s="99">
        <v>44</v>
      </c>
      <c r="J29" s="99">
        <v>2</v>
      </c>
      <c r="K29" s="99">
        <v>50</v>
      </c>
      <c r="L29" s="99">
        <v>2</v>
      </c>
      <c r="M29" s="99">
        <v>30</v>
      </c>
      <c r="N29" s="99">
        <v>1</v>
      </c>
      <c r="O29" s="99">
        <v>100</v>
      </c>
      <c r="P29" s="99">
        <v>176</v>
      </c>
      <c r="Q29" s="99">
        <v>96</v>
      </c>
      <c r="R29" s="99">
        <v>10</v>
      </c>
      <c r="S29" s="99">
        <v>2</v>
      </c>
      <c r="T29" s="99">
        <v>1</v>
      </c>
      <c r="U29" s="99">
        <v>0</v>
      </c>
      <c r="V29" s="99">
        <v>16</v>
      </c>
      <c r="W29" s="99">
        <v>3</v>
      </c>
      <c r="X29" s="99">
        <v>2</v>
      </c>
      <c r="Y29" s="99">
        <v>0</v>
      </c>
      <c r="Z29" s="99">
        <v>24</v>
      </c>
    </row>
    <row r="30" spans="1:26" ht="12.75">
      <c r="A30" s="46">
        <v>10</v>
      </c>
      <c r="B30" s="47" t="s">
        <v>177</v>
      </c>
      <c r="C30" s="47"/>
      <c r="D30" s="47"/>
      <c r="E30" s="241">
        <f t="shared" si="7"/>
        <v>95</v>
      </c>
      <c r="F30" s="241">
        <f t="shared" si="8"/>
        <v>5</v>
      </c>
      <c r="G30" s="99">
        <v>32</v>
      </c>
      <c r="H30" s="99">
        <v>2</v>
      </c>
      <c r="I30" s="99">
        <v>21</v>
      </c>
      <c r="J30" s="99">
        <v>1</v>
      </c>
      <c r="K30" s="99">
        <v>23</v>
      </c>
      <c r="L30" s="99">
        <v>1</v>
      </c>
      <c r="M30" s="99">
        <v>19</v>
      </c>
      <c r="N30" s="99">
        <v>1</v>
      </c>
      <c r="O30" s="99">
        <v>41</v>
      </c>
      <c r="P30" s="99">
        <v>95</v>
      </c>
      <c r="Q30" s="99">
        <v>41</v>
      </c>
      <c r="R30" s="99">
        <v>5</v>
      </c>
      <c r="S30" s="99">
        <v>2</v>
      </c>
      <c r="T30" s="99">
        <v>1</v>
      </c>
      <c r="U30" s="99">
        <v>0</v>
      </c>
      <c r="V30" s="99">
        <v>12</v>
      </c>
      <c r="W30" s="99">
        <v>6</v>
      </c>
      <c r="X30" s="99">
        <v>2</v>
      </c>
      <c r="Y30" s="99">
        <v>0</v>
      </c>
      <c r="Z30" s="99">
        <v>20</v>
      </c>
    </row>
    <row r="31" spans="1:26" ht="12.75">
      <c r="A31" s="46">
        <v>11</v>
      </c>
      <c r="B31" s="47" t="s">
        <v>178</v>
      </c>
      <c r="C31" s="47"/>
      <c r="D31" s="47"/>
      <c r="E31" s="241">
        <f t="shared" si="7"/>
        <v>602</v>
      </c>
      <c r="F31" s="241">
        <f t="shared" si="8"/>
        <v>19</v>
      </c>
      <c r="G31" s="99">
        <v>205</v>
      </c>
      <c r="H31" s="99">
        <v>6</v>
      </c>
      <c r="I31" s="99">
        <v>165</v>
      </c>
      <c r="J31" s="99">
        <v>5</v>
      </c>
      <c r="K31" s="99">
        <v>130</v>
      </c>
      <c r="L31" s="99">
        <v>4</v>
      </c>
      <c r="M31" s="99">
        <v>102</v>
      </c>
      <c r="N31" s="99">
        <v>4</v>
      </c>
      <c r="O31" s="99">
        <v>341</v>
      </c>
      <c r="P31" s="99">
        <v>473</v>
      </c>
      <c r="Q31" s="99">
        <v>263</v>
      </c>
      <c r="R31" s="99">
        <v>20</v>
      </c>
      <c r="S31" s="99">
        <v>2</v>
      </c>
      <c r="T31" s="99">
        <v>1</v>
      </c>
      <c r="U31" s="99">
        <v>0</v>
      </c>
      <c r="V31" s="99">
        <v>36</v>
      </c>
      <c r="W31" s="99">
        <v>26</v>
      </c>
      <c r="X31" s="99">
        <v>2</v>
      </c>
      <c r="Y31" s="99">
        <v>2</v>
      </c>
      <c r="Z31" s="99">
        <v>44</v>
      </c>
    </row>
    <row r="32" spans="1:26" ht="13.5" thickBot="1">
      <c r="A32" s="46">
        <v>12</v>
      </c>
      <c r="B32" s="250" t="s">
        <v>179</v>
      </c>
      <c r="C32" s="250"/>
      <c r="D32" s="250"/>
      <c r="E32" s="241">
        <f t="shared" si="7"/>
        <v>118</v>
      </c>
      <c r="F32" s="241">
        <f t="shared" si="8"/>
        <v>5</v>
      </c>
      <c r="G32" s="251">
        <v>44</v>
      </c>
      <c r="H32" s="251">
        <v>2</v>
      </c>
      <c r="I32" s="251">
        <v>33</v>
      </c>
      <c r="J32" s="251">
        <v>1</v>
      </c>
      <c r="K32" s="251">
        <v>24</v>
      </c>
      <c r="L32" s="251">
        <v>1</v>
      </c>
      <c r="M32" s="251">
        <v>17</v>
      </c>
      <c r="N32" s="251">
        <v>1</v>
      </c>
      <c r="O32" s="251">
        <v>71</v>
      </c>
      <c r="P32" s="251">
        <v>115</v>
      </c>
      <c r="Q32" s="251">
        <v>71</v>
      </c>
      <c r="R32" s="251">
        <v>5</v>
      </c>
      <c r="S32" s="251">
        <v>2</v>
      </c>
      <c r="T32" s="251">
        <v>1</v>
      </c>
      <c r="U32" s="251">
        <v>0</v>
      </c>
      <c r="V32" s="251">
        <v>11</v>
      </c>
      <c r="W32" s="251">
        <v>3</v>
      </c>
      <c r="X32" s="251">
        <v>2</v>
      </c>
      <c r="Y32" s="251">
        <v>1</v>
      </c>
      <c r="Z32" s="251">
        <v>19</v>
      </c>
    </row>
    <row r="33" spans="1:26" ht="13.5" customHeight="1" thickBot="1">
      <c r="A33" s="252" t="s">
        <v>135</v>
      </c>
      <c r="B33" s="253" t="s">
        <v>205</v>
      </c>
      <c r="C33" s="468" t="s">
        <v>208</v>
      </c>
      <c r="D33" s="469"/>
      <c r="E33" s="254" t="s">
        <v>206</v>
      </c>
      <c r="F33" s="254" t="s">
        <v>207</v>
      </c>
      <c r="G33" s="468" t="s">
        <v>59</v>
      </c>
      <c r="H33" s="469"/>
      <c r="I33" s="468" t="s">
        <v>60</v>
      </c>
      <c r="J33" s="469"/>
      <c r="K33" s="468" t="s">
        <v>61</v>
      </c>
      <c r="L33" s="469"/>
      <c r="M33" s="451" t="s">
        <v>62</v>
      </c>
      <c r="N33" s="452"/>
      <c r="O33" s="457" t="s">
        <v>203</v>
      </c>
      <c r="P33" s="458"/>
      <c r="Q33" s="459"/>
      <c r="R33" s="455" t="s">
        <v>188</v>
      </c>
      <c r="S33" s="455"/>
      <c r="T33" s="455"/>
      <c r="U33" s="456"/>
      <c r="V33" s="466" t="s">
        <v>186</v>
      </c>
      <c r="W33" s="467"/>
      <c r="X33" s="467" t="s">
        <v>187</v>
      </c>
      <c r="Y33" s="467"/>
      <c r="Z33" s="255" t="s">
        <v>201</v>
      </c>
    </row>
    <row r="34" spans="1:26" ht="12.75">
      <c r="A34" s="256">
        <v>1</v>
      </c>
      <c r="B34" s="257" t="s">
        <v>37</v>
      </c>
      <c r="C34" s="258">
        <f aca="true" t="shared" si="9" ref="C34:D40">E34/$E9</f>
        <v>0.9044056525353283</v>
      </c>
      <c r="D34" s="259">
        <f t="shared" si="9"/>
        <v>1</v>
      </c>
      <c r="E34" s="260">
        <f>G34+I34+K34+M34</f>
        <v>1088</v>
      </c>
      <c r="F34" s="260">
        <f>H34+J34+L34+N34</f>
        <v>1203</v>
      </c>
      <c r="G34" s="261">
        <v>284</v>
      </c>
      <c r="H34" s="99">
        <f aca="true" t="shared" si="10" ref="H34:H40">G9</f>
        <v>399</v>
      </c>
      <c r="I34" s="261">
        <v>321</v>
      </c>
      <c r="J34" s="99">
        <f aca="true" t="shared" si="11" ref="J34:J40">I9</f>
        <v>321</v>
      </c>
      <c r="K34" s="261">
        <v>282</v>
      </c>
      <c r="L34" s="99">
        <f aca="true" t="shared" si="12" ref="L34:L40">K9</f>
        <v>282</v>
      </c>
      <c r="M34" s="261">
        <v>201</v>
      </c>
      <c r="N34" s="262">
        <f aca="true" t="shared" si="13" ref="N34:N40">M9</f>
        <v>201</v>
      </c>
      <c r="O34" s="460"/>
      <c r="P34" s="461"/>
      <c r="Q34" s="462"/>
      <c r="R34" s="47">
        <f>46+12</f>
        <v>58</v>
      </c>
      <c r="S34" s="47">
        <v>54</v>
      </c>
      <c r="T34" s="47">
        <v>18</v>
      </c>
      <c r="U34" s="263">
        <v>9</v>
      </c>
      <c r="V34" s="264">
        <f>V9</f>
        <v>113</v>
      </c>
      <c r="W34" s="201">
        <f>V34/($V34+$Z34)</f>
        <v>1</v>
      </c>
      <c r="X34" s="47">
        <v>52</v>
      </c>
      <c r="Y34" s="201">
        <f aca="true" t="shared" si="14" ref="Y34:Y41">X34/($V34+$Z34)</f>
        <v>0.46017699115044247</v>
      </c>
      <c r="Z34" s="263">
        <v>0</v>
      </c>
    </row>
    <row r="35" spans="1:26" ht="12.75">
      <c r="A35" s="265">
        <v>2</v>
      </c>
      <c r="B35" s="47" t="s">
        <v>38</v>
      </c>
      <c r="C35" s="258">
        <f t="shared" si="9"/>
        <v>0.12814802124378963</v>
      </c>
      <c r="D35" s="259">
        <f t="shared" si="9"/>
        <v>1</v>
      </c>
      <c r="E35" s="241">
        <f aca="true" t="shared" si="15" ref="E35:E40">G35+I35+K35+M35</f>
        <v>748</v>
      </c>
      <c r="F35" s="241">
        <f aca="true" t="shared" si="16" ref="F35:F40">H35+J35+L35+N35</f>
        <v>5837</v>
      </c>
      <c r="G35" s="99">
        <v>195</v>
      </c>
      <c r="H35" s="99">
        <f t="shared" si="10"/>
        <v>1801</v>
      </c>
      <c r="I35" s="99">
        <v>217</v>
      </c>
      <c r="J35" s="99">
        <f t="shared" si="11"/>
        <v>1658</v>
      </c>
      <c r="K35" s="99">
        <v>167</v>
      </c>
      <c r="L35" s="99">
        <f t="shared" si="12"/>
        <v>1237</v>
      </c>
      <c r="M35" s="99">
        <v>169</v>
      </c>
      <c r="N35" s="262">
        <f t="shared" si="13"/>
        <v>1141</v>
      </c>
      <c r="O35" s="460"/>
      <c r="P35" s="461"/>
      <c r="Q35" s="462"/>
      <c r="R35" s="47">
        <v>52</v>
      </c>
      <c r="S35" s="47">
        <v>60</v>
      </c>
      <c r="T35" s="47">
        <v>11</v>
      </c>
      <c r="U35" s="263">
        <v>11</v>
      </c>
      <c r="V35" s="264">
        <f>V10</f>
        <v>318</v>
      </c>
      <c r="W35" s="201">
        <f aca="true" t="shared" si="17" ref="W35:W41">V35/($V35+$Z35)</f>
        <v>1</v>
      </c>
      <c r="X35" s="47">
        <v>182</v>
      </c>
      <c r="Y35" s="201">
        <f t="shared" si="14"/>
        <v>0.5723270440251572</v>
      </c>
      <c r="Z35" s="263">
        <v>0</v>
      </c>
    </row>
    <row r="36" spans="1:26" ht="12.75">
      <c r="A36" s="265">
        <v>3</v>
      </c>
      <c r="B36" s="47" t="s">
        <v>40</v>
      </c>
      <c r="C36" s="258">
        <f t="shared" si="9"/>
        <v>0.25848256361922717</v>
      </c>
      <c r="D36" s="259">
        <f t="shared" si="9"/>
        <v>1</v>
      </c>
      <c r="E36" s="241">
        <f t="shared" si="15"/>
        <v>2194</v>
      </c>
      <c r="F36" s="241">
        <f t="shared" si="16"/>
        <v>8488</v>
      </c>
      <c r="G36" s="99">
        <v>689</v>
      </c>
      <c r="H36" s="99">
        <f t="shared" si="10"/>
        <v>2524</v>
      </c>
      <c r="I36" s="99">
        <v>551</v>
      </c>
      <c r="J36" s="99">
        <f t="shared" si="11"/>
        <v>2223</v>
      </c>
      <c r="K36" s="99">
        <v>474</v>
      </c>
      <c r="L36" s="99">
        <f t="shared" si="12"/>
        <v>1902</v>
      </c>
      <c r="M36" s="99">
        <v>480</v>
      </c>
      <c r="N36" s="262">
        <f t="shared" si="13"/>
        <v>1839</v>
      </c>
      <c r="O36" s="460"/>
      <c r="P36" s="461"/>
      <c r="Q36" s="462"/>
      <c r="R36" s="47">
        <f>39+32</f>
        <v>71</v>
      </c>
      <c r="S36" s="47">
        <v>44</v>
      </c>
      <c r="T36" s="47">
        <v>11</v>
      </c>
      <c r="U36" s="263">
        <v>11</v>
      </c>
      <c r="V36" s="266">
        <f>475</f>
        <v>475</v>
      </c>
      <c r="W36" s="201">
        <f t="shared" si="17"/>
        <v>0.9895833333333334</v>
      </c>
      <c r="X36" s="47">
        <v>247</v>
      </c>
      <c r="Y36" s="201">
        <f t="shared" si="14"/>
        <v>0.5145833333333333</v>
      </c>
      <c r="Z36" s="263">
        <v>5</v>
      </c>
    </row>
    <row r="37" spans="1:26" s="9" customFormat="1" ht="12.75">
      <c r="A37" s="297">
        <v>4</v>
      </c>
      <c r="B37" s="30" t="s">
        <v>15</v>
      </c>
      <c r="C37" s="298">
        <f t="shared" si="9"/>
        <v>0.03275610264969748</v>
      </c>
      <c r="D37" s="299">
        <f t="shared" si="9"/>
        <v>1</v>
      </c>
      <c r="E37" s="300">
        <f t="shared" si="15"/>
        <v>157</v>
      </c>
      <c r="F37" s="300">
        <f t="shared" si="16"/>
        <v>4793</v>
      </c>
      <c r="G37" s="98">
        <v>51</v>
      </c>
      <c r="H37" s="98">
        <f t="shared" si="10"/>
        <v>1198</v>
      </c>
      <c r="I37" s="98">
        <v>47</v>
      </c>
      <c r="J37" s="98">
        <f t="shared" si="11"/>
        <v>1324</v>
      </c>
      <c r="K37" s="98">
        <v>42</v>
      </c>
      <c r="L37" s="98">
        <f t="shared" si="12"/>
        <v>1234</v>
      </c>
      <c r="M37" s="98">
        <v>17</v>
      </c>
      <c r="N37" s="301">
        <f t="shared" si="13"/>
        <v>1037</v>
      </c>
      <c r="O37" s="460"/>
      <c r="P37" s="461"/>
      <c r="Q37" s="462"/>
      <c r="R37" s="16">
        <v>8</v>
      </c>
      <c r="S37" s="16">
        <v>24</v>
      </c>
      <c r="T37" s="16">
        <v>18</v>
      </c>
      <c r="U37" s="120">
        <v>8</v>
      </c>
      <c r="V37" s="302">
        <v>264</v>
      </c>
      <c r="W37" s="129">
        <f t="shared" si="17"/>
        <v>0.9962264150943396</v>
      </c>
      <c r="X37" s="16">
        <f>173+14</f>
        <v>187</v>
      </c>
      <c r="Y37" s="129">
        <f>X37/($V37+$Z37)</f>
        <v>0.7056603773584905</v>
      </c>
      <c r="Z37" s="120">
        <v>1</v>
      </c>
    </row>
    <row r="38" spans="1:26" ht="12.75">
      <c r="A38" s="265">
        <v>5</v>
      </c>
      <c r="B38" s="47" t="s">
        <v>14</v>
      </c>
      <c r="C38" s="258">
        <f t="shared" si="9"/>
        <v>0.19801488833746897</v>
      </c>
      <c r="D38" s="259">
        <f t="shared" si="9"/>
        <v>1</v>
      </c>
      <c r="E38" s="241">
        <f t="shared" si="15"/>
        <v>1995</v>
      </c>
      <c r="F38" s="241">
        <f t="shared" si="16"/>
        <v>10075</v>
      </c>
      <c r="G38" s="99">
        <v>551</v>
      </c>
      <c r="H38" s="99">
        <f t="shared" si="10"/>
        <v>2733</v>
      </c>
      <c r="I38" s="99">
        <v>548</v>
      </c>
      <c r="J38" s="99">
        <f t="shared" si="11"/>
        <v>2733</v>
      </c>
      <c r="K38" s="99">
        <v>448</v>
      </c>
      <c r="L38" s="99">
        <f t="shared" si="12"/>
        <v>2464</v>
      </c>
      <c r="M38" s="99">
        <v>448</v>
      </c>
      <c r="N38" s="262">
        <f t="shared" si="13"/>
        <v>2145</v>
      </c>
      <c r="O38" s="460"/>
      <c r="P38" s="461"/>
      <c r="Q38" s="462"/>
      <c r="R38" s="47">
        <v>26</v>
      </c>
      <c r="S38" s="47">
        <v>22</v>
      </c>
      <c r="T38" s="47">
        <v>5</v>
      </c>
      <c r="U38" s="263">
        <v>9</v>
      </c>
      <c r="V38" s="266">
        <f>508-5</f>
        <v>503</v>
      </c>
      <c r="W38" s="201">
        <f t="shared" si="17"/>
        <v>0.9901574803149606</v>
      </c>
      <c r="X38" s="47">
        <v>352</v>
      </c>
      <c r="Y38" s="201">
        <f t="shared" si="14"/>
        <v>0.6929133858267716</v>
      </c>
      <c r="Z38" s="263">
        <v>5</v>
      </c>
    </row>
    <row r="39" spans="1:26" ht="12.75">
      <c r="A39" s="265">
        <v>6</v>
      </c>
      <c r="B39" s="47" t="s">
        <v>39</v>
      </c>
      <c r="C39" s="258">
        <f t="shared" si="9"/>
        <v>0.4468201754385965</v>
      </c>
      <c r="D39" s="259">
        <f t="shared" si="9"/>
        <v>1</v>
      </c>
      <c r="E39" s="241">
        <f t="shared" si="15"/>
        <v>815</v>
      </c>
      <c r="F39" s="241">
        <f t="shared" si="16"/>
        <v>1824</v>
      </c>
      <c r="G39" s="99">
        <v>281</v>
      </c>
      <c r="H39" s="99">
        <f t="shared" si="10"/>
        <v>619</v>
      </c>
      <c r="I39" s="99">
        <v>219</v>
      </c>
      <c r="J39" s="99">
        <f t="shared" si="11"/>
        <v>507</v>
      </c>
      <c r="K39" s="99">
        <v>177</v>
      </c>
      <c r="L39" s="99">
        <f t="shared" si="12"/>
        <v>372</v>
      </c>
      <c r="M39" s="99">
        <v>138</v>
      </c>
      <c r="N39" s="262">
        <f t="shared" si="13"/>
        <v>326</v>
      </c>
      <c r="O39" s="460"/>
      <c r="P39" s="461"/>
      <c r="Q39" s="462"/>
      <c r="R39" s="47"/>
      <c r="S39" s="47">
        <v>48</v>
      </c>
      <c r="T39" s="47">
        <v>12</v>
      </c>
      <c r="U39" s="263">
        <v>6</v>
      </c>
      <c r="V39" s="266">
        <v>121</v>
      </c>
      <c r="W39" s="201">
        <f t="shared" si="17"/>
        <v>1</v>
      </c>
      <c r="X39" s="47">
        <v>60</v>
      </c>
      <c r="Y39" s="201">
        <f t="shared" si="14"/>
        <v>0.49586776859504134</v>
      </c>
      <c r="Z39" s="263">
        <v>0</v>
      </c>
    </row>
    <row r="40" spans="1:26" ht="12.75">
      <c r="A40" s="265">
        <v>7</v>
      </c>
      <c r="B40" s="47" t="s">
        <v>47</v>
      </c>
      <c r="C40" s="258">
        <f t="shared" si="9"/>
        <v>0.05188141391106044</v>
      </c>
      <c r="D40" s="259">
        <f t="shared" si="9"/>
        <v>1</v>
      </c>
      <c r="E40" s="241">
        <f t="shared" si="15"/>
        <v>182</v>
      </c>
      <c r="F40" s="241">
        <f t="shared" si="16"/>
        <v>3508</v>
      </c>
      <c r="G40" s="99">
        <v>58</v>
      </c>
      <c r="H40" s="99">
        <f t="shared" si="10"/>
        <v>1213</v>
      </c>
      <c r="I40" s="99">
        <v>44</v>
      </c>
      <c r="J40" s="99">
        <f t="shared" si="11"/>
        <v>918</v>
      </c>
      <c r="K40" s="99">
        <v>50</v>
      </c>
      <c r="L40" s="99">
        <f t="shared" si="12"/>
        <v>740</v>
      </c>
      <c r="M40" s="99">
        <v>30</v>
      </c>
      <c r="N40" s="262">
        <f t="shared" si="13"/>
        <v>637</v>
      </c>
      <c r="O40" s="460"/>
      <c r="P40" s="461"/>
      <c r="Q40" s="462"/>
      <c r="R40" s="47">
        <f>48+22</f>
        <v>70</v>
      </c>
      <c r="S40" s="47">
        <v>48</v>
      </c>
      <c r="T40" s="47">
        <v>8</v>
      </c>
      <c r="U40" s="263">
        <v>8</v>
      </c>
      <c r="V40" s="266">
        <f>V15</f>
        <v>171</v>
      </c>
      <c r="W40" s="201">
        <f t="shared" si="17"/>
        <v>1</v>
      </c>
      <c r="X40" s="47">
        <v>61</v>
      </c>
      <c r="Y40" s="201">
        <f t="shared" si="14"/>
        <v>0.3567251461988304</v>
      </c>
      <c r="Z40" s="263">
        <v>0</v>
      </c>
    </row>
    <row r="41" spans="1:26" ht="12.75">
      <c r="A41" s="265">
        <v>8</v>
      </c>
      <c r="B41" s="47" t="s">
        <v>57</v>
      </c>
      <c r="C41" s="267">
        <f aca="true" t="shared" si="18" ref="C41:D43">E41/$E17</f>
        <v>1</v>
      </c>
      <c r="D41" s="267">
        <f t="shared" si="18"/>
        <v>1</v>
      </c>
      <c r="E41" s="241">
        <f aca="true" t="shared" si="19" ref="E41:F43">G41+I41+K41+M41</f>
        <v>175</v>
      </c>
      <c r="F41" s="241">
        <f t="shared" si="19"/>
        <v>175</v>
      </c>
      <c r="G41" s="99">
        <f>G17</f>
        <v>48</v>
      </c>
      <c r="H41" s="99">
        <f>G17</f>
        <v>48</v>
      </c>
      <c r="I41" s="99">
        <f>I17</f>
        <v>57</v>
      </c>
      <c r="J41" s="99">
        <f>I17</f>
        <v>57</v>
      </c>
      <c r="K41" s="99">
        <f>K17</f>
        <v>38</v>
      </c>
      <c r="L41" s="99">
        <f>K17</f>
        <v>38</v>
      </c>
      <c r="M41" s="99">
        <f>M17</f>
        <v>32</v>
      </c>
      <c r="N41" s="262">
        <f>M17</f>
        <v>32</v>
      </c>
      <c r="O41" s="460"/>
      <c r="P41" s="461"/>
      <c r="Q41" s="462"/>
      <c r="R41" s="47">
        <v>12</v>
      </c>
      <c r="S41" s="47">
        <v>10</v>
      </c>
      <c r="T41" s="47">
        <v>1</v>
      </c>
      <c r="U41" s="263">
        <v>1</v>
      </c>
      <c r="V41" s="266">
        <v>11</v>
      </c>
      <c r="W41" s="201">
        <f t="shared" si="17"/>
        <v>0.9166666666666666</v>
      </c>
      <c r="X41" s="47">
        <v>7</v>
      </c>
      <c r="Y41" s="201">
        <f t="shared" si="14"/>
        <v>0.5833333333333334</v>
      </c>
      <c r="Z41" s="263">
        <v>1</v>
      </c>
    </row>
    <row r="42" spans="1:26" ht="12.75">
      <c r="A42" s="265">
        <v>9</v>
      </c>
      <c r="B42" s="47" t="s">
        <v>56</v>
      </c>
      <c r="C42" s="267">
        <f t="shared" si="18"/>
        <v>1</v>
      </c>
      <c r="D42" s="267">
        <f t="shared" si="18"/>
        <v>1</v>
      </c>
      <c r="E42" s="241">
        <f t="shared" si="19"/>
        <v>229</v>
      </c>
      <c r="F42" s="241">
        <f t="shared" si="19"/>
        <v>229</v>
      </c>
      <c r="G42" s="99">
        <f>G18</f>
        <v>78</v>
      </c>
      <c r="H42" s="99">
        <f>G18</f>
        <v>78</v>
      </c>
      <c r="I42" s="99">
        <f>I18</f>
        <v>60</v>
      </c>
      <c r="J42" s="99">
        <f>I18</f>
        <v>60</v>
      </c>
      <c r="K42" s="99">
        <f>K18</f>
        <v>49</v>
      </c>
      <c r="L42" s="99">
        <f>K18</f>
        <v>49</v>
      </c>
      <c r="M42" s="99">
        <f>M18</f>
        <v>42</v>
      </c>
      <c r="N42" s="262">
        <f>M18</f>
        <v>42</v>
      </c>
      <c r="O42" s="460"/>
      <c r="P42" s="461"/>
      <c r="Q42" s="462"/>
      <c r="R42" s="47">
        <v>12</v>
      </c>
      <c r="S42" s="47">
        <v>4</v>
      </c>
      <c r="T42" s="47">
        <v>1</v>
      </c>
      <c r="U42" s="263">
        <v>1</v>
      </c>
      <c r="V42" s="266">
        <v>14</v>
      </c>
      <c r="W42" s="267">
        <v>1</v>
      </c>
      <c r="X42" s="47">
        <v>10</v>
      </c>
      <c r="Y42" s="201">
        <f>X42/V42</f>
        <v>0.7142857142857143</v>
      </c>
      <c r="Z42" s="268">
        <v>0</v>
      </c>
    </row>
    <row r="43" spans="1:26" ht="14.25" customHeight="1">
      <c r="A43" s="265">
        <v>10</v>
      </c>
      <c r="B43" s="47" t="s">
        <v>58</v>
      </c>
      <c r="C43" s="267">
        <f t="shared" si="18"/>
        <v>1</v>
      </c>
      <c r="D43" s="267">
        <f t="shared" si="18"/>
        <v>1</v>
      </c>
      <c r="E43" s="241">
        <f t="shared" si="19"/>
        <v>257</v>
      </c>
      <c r="F43" s="241">
        <f t="shared" si="19"/>
        <v>257</v>
      </c>
      <c r="G43" s="99">
        <f>G19</f>
        <v>74</v>
      </c>
      <c r="H43" s="99">
        <f>G19</f>
        <v>74</v>
      </c>
      <c r="I43" s="99">
        <f>I19</f>
        <v>57</v>
      </c>
      <c r="J43" s="99">
        <f>I19</f>
        <v>57</v>
      </c>
      <c r="K43" s="99">
        <f>K19</f>
        <v>50</v>
      </c>
      <c r="L43" s="99">
        <f>K19</f>
        <v>50</v>
      </c>
      <c r="M43" s="99">
        <f>M19</f>
        <v>76</v>
      </c>
      <c r="N43" s="262">
        <f>M19</f>
        <v>76</v>
      </c>
      <c r="O43" s="463"/>
      <c r="P43" s="464"/>
      <c r="Q43" s="465"/>
      <c r="R43" s="47"/>
      <c r="S43" s="47">
        <v>5</v>
      </c>
      <c r="T43" s="47">
        <v>1</v>
      </c>
      <c r="U43" s="263">
        <v>1</v>
      </c>
      <c r="V43" s="266">
        <v>19</v>
      </c>
      <c r="W43" s="267">
        <v>1</v>
      </c>
      <c r="X43" s="47">
        <v>12</v>
      </c>
      <c r="Y43" s="201">
        <f>X43/V43</f>
        <v>0.631578947368421</v>
      </c>
      <c r="Z43" s="263">
        <v>0</v>
      </c>
    </row>
    <row r="44" spans="1:26" ht="12" customHeight="1" thickBot="1">
      <c r="A44" s="269"/>
      <c r="B44" s="270"/>
      <c r="C44" s="271">
        <f>E44/$E7</f>
        <v>0.2154497238176372</v>
      </c>
      <c r="D44" s="272">
        <f>F44/$E7</f>
        <v>1</v>
      </c>
      <c r="E44" s="273">
        <f aca="true" t="shared" si="20" ref="E44:N44">SUM(E34:E43)</f>
        <v>7840</v>
      </c>
      <c r="F44" s="273">
        <f t="shared" si="20"/>
        <v>36389</v>
      </c>
      <c r="G44" s="273">
        <f t="shared" si="20"/>
        <v>2309</v>
      </c>
      <c r="H44" s="274">
        <f t="shared" si="20"/>
        <v>10687</v>
      </c>
      <c r="I44" s="273">
        <f t="shared" si="20"/>
        <v>2121</v>
      </c>
      <c r="J44" s="273">
        <f t="shared" si="20"/>
        <v>9858</v>
      </c>
      <c r="K44" s="273">
        <f t="shared" si="20"/>
        <v>1777</v>
      </c>
      <c r="L44" s="273">
        <f t="shared" si="20"/>
        <v>8368</v>
      </c>
      <c r="M44" s="273">
        <f t="shared" si="20"/>
        <v>1633</v>
      </c>
      <c r="N44" s="273">
        <f t="shared" si="20"/>
        <v>7476</v>
      </c>
      <c r="O44" s="424" t="s">
        <v>137</v>
      </c>
      <c r="P44" s="425"/>
      <c r="Q44" s="426"/>
      <c r="R44" s="275">
        <f>SUM(R34:R43)</f>
        <v>309</v>
      </c>
      <c r="S44" s="275">
        <f aca="true" t="shared" si="21" ref="S44:Z44">SUM(S34:S43)</f>
        <v>319</v>
      </c>
      <c r="T44" s="275">
        <f t="shared" si="21"/>
        <v>86</v>
      </c>
      <c r="U44" s="276">
        <f t="shared" si="21"/>
        <v>65</v>
      </c>
      <c r="V44" s="277">
        <f t="shared" si="21"/>
        <v>2009</v>
      </c>
      <c r="W44" s="271">
        <f>V44/($V44+$Z44)</f>
        <v>0.9940623453735774</v>
      </c>
      <c r="X44" s="275">
        <f t="shared" si="21"/>
        <v>1170</v>
      </c>
      <c r="Y44" s="271">
        <f>X44/V44</f>
        <v>0.5823792931806869</v>
      </c>
      <c r="Z44" s="276">
        <f t="shared" si="21"/>
        <v>12</v>
      </c>
    </row>
    <row r="45" spans="1:26" ht="12" customHeight="1">
      <c r="A45" s="278"/>
      <c r="B45" s="203"/>
      <c r="C45" s="203"/>
      <c r="D45" s="203"/>
      <c r="E45" s="279"/>
      <c r="F45" s="279"/>
      <c r="G45" s="280"/>
      <c r="H45" s="280"/>
      <c r="I45" s="280"/>
      <c r="J45" s="280"/>
      <c r="K45" s="280"/>
      <c r="L45" s="280"/>
      <c r="M45" s="280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</row>
    <row r="46" spans="1:29" ht="15.75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R46" s="281"/>
      <c r="S46" s="281"/>
      <c r="T46" s="281"/>
      <c r="U46" s="282" t="s">
        <v>148</v>
      </c>
      <c r="V46" s="281"/>
      <c r="W46" s="281"/>
      <c r="X46" s="281"/>
      <c r="Y46" s="281"/>
      <c r="Z46" s="281"/>
      <c r="AA46" s="283"/>
      <c r="AB46" s="283"/>
      <c r="AC46" s="283"/>
    </row>
    <row r="47" spans="2:29" ht="18.75">
      <c r="B47" s="222"/>
      <c r="C47" s="222"/>
      <c r="D47" s="222"/>
      <c r="F47" s="222" t="s">
        <v>85</v>
      </c>
      <c r="P47" s="284"/>
      <c r="R47" s="284"/>
      <c r="S47" s="284"/>
      <c r="T47" s="284"/>
      <c r="U47" s="285" t="s">
        <v>66</v>
      </c>
      <c r="V47" s="284"/>
      <c r="W47" s="284"/>
      <c r="X47" s="284"/>
      <c r="Y47" s="284"/>
      <c r="Z47" s="284"/>
      <c r="AA47" s="284"/>
      <c r="AB47" s="284"/>
      <c r="AC47" s="284"/>
    </row>
    <row r="48" spans="16:29" ht="18.75">
      <c r="P48" s="284"/>
      <c r="R48" s="284"/>
      <c r="S48" s="284"/>
      <c r="T48" s="284"/>
      <c r="U48" s="285" t="s">
        <v>67</v>
      </c>
      <c r="V48" s="284"/>
      <c r="W48" s="284"/>
      <c r="X48" s="284"/>
      <c r="Y48" s="284"/>
      <c r="Z48" s="284"/>
      <c r="AA48" s="284"/>
      <c r="AB48" s="284"/>
      <c r="AC48" s="284"/>
    </row>
    <row r="49" spans="16:29" ht="12.75">
      <c r="P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</row>
    <row r="50" spans="16:29" ht="12.75">
      <c r="P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</row>
    <row r="51" spans="16:29" ht="12.75">
      <c r="P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</row>
    <row r="52" spans="2:29" ht="15.75">
      <c r="B52" s="283"/>
      <c r="C52" s="283"/>
      <c r="D52" s="283"/>
      <c r="P52" s="286"/>
      <c r="R52" s="225"/>
      <c r="S52" s="225"/>
      <c r="T52" s="225"/>
      <c r="V52" s="286"/>
      <c r="W52" s="286"/>
      <c r="X52" s="286"/>
      <c r="Y52" s="286"/>
      <c r="Z52" s="286"/>
      <c r="AA52" s="286"/>
      <c r="AB52" s="286"/>
      <c r="AC52" s="286"/>
    </row>
    <row r="53" spans="16:29" ht="12.75">
      <c r="P53" s="286"/>
      <c r="V53" s="286"/>
      <c r="W53" s="286"/>
      <c r="X53" s="286"/>
      <c r="Y53" s="286"/>
      <c r="Z53" s="286"/>
      <c r="AA53" s="286"/>
      <c r="AB53" s="286"/>
      <c r="AC53" s="286"/>
    </row>
    <row r="54" spans="6:29" ht="18.75">
      <c r="F54" s="283" t="s">
        <v>86</v>
      </c>
      <c r="P54" s="287"/>
      <c r="Q54" s="287"/>
      <c r="R54" s="287"/>
      <c r="S54" s="287"/>
      <c r="T54" s="287"/>
      <c r="U54" s="223" t="s">
        <v>84</v>
      </c>
      <c r="V54" s="287"/>
      <c r="W54" s="287"/>
      <c r="X54" s="287"/>
      <c r="Y54" s="287"/>
      <c r="Z54" s="287"/>
      <c r="AA54" s="287"/>
      <c r="AB54" s="287"/>
      <c r="AC54" s="287"/>
    </row>
  </sheetData>
  <mergeCells count="32">
    <mergeCell ref="C33:D33"/>
    <mergeCell ref="G33:H33"/>
    <mergeCell ref="I33:J33"/>
    <mergeCell ref="K33:L33"/>
    <mergeCell ref="M33:N33"/>
    <mergeCell ref="R4:U5"/>
    <mergeCell ref="V4:W4"/>
    <mergeCell ref="X5:X6"/>
    <mergeCell ref="R33:U33"/>
    <mergeCell ref="O33:Q43"/>
    <mergeCell ref="V33:W33"/>
    <mergeCell ref="X33:Y33"/>
    <mergeCell ref="W5:W6"/>
    <mergeCell ref="Y5:Y6"/>
    <mergeCell ref="A1:G1"/>
    <mergeCell ref="A2:G2"/>
    <mergeCell ref="A4:A6"/>
    <mergeCell ref="B4:B6"/>
    <mergeCell ref="E4:F5"/>
    <mergeCell ref="G4:N4"/>
    <mergeCell ref="D4:D6"/>
    <mergeCell ref="C4:C6"/>
    <mergeCell ref="O44:Q44"/>
    <mergeCell ref="Z4:Z6"/>
    <mergeCell ref="V5:V6"/>
    <mergeCell ref="G5:H5"/>
    <mergeCell ref="I5:J5"/>
    <mergeCell ref="K5:L5"/>
    <mergeCell ref="M5:N5"/>
    <mergeCell ref="O4:O6"/>
    <mergeCell ref="P4:Q5"/>
    <mergeCell ref="X4:Y4"/>
  </mergeCells>
  <printOptions horizontalCentered="1"/>
  <pageMargins left="0.03937007874015748" right="0.03937007874015748" top="0" bottom="0" header="0.5118110236220472" footer="0.5118110236220472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40"/>
  <sheetViews>
    <sheetView workbookViewId="0" topLeftCell="A7">
      <selection activeCell="L33" sqref="L33"/>
    </sheetView>
  </sheetViews>
  <sheetFormatPr defaultColWidth="8.88671875" defaultRowHeight="18.75"/>
  <cols>
    <col min="1" max="1" width="2.77734375" style="9" customWidth="1"/>
    <col min="2" max="2" width="17.3359375" style="9" customWidth="1"/>
    <col min="3" max="3" width="3.88671875" style="9" customWidth="1"/>
    <col min="4" max="4" width="6.10546875" style="9" bestFit="1" customWidth="1"/>
    <col min="5" max="5" width="3.5546875" style="9" bestFit="1" customWidth="1"/>
    <col min="6" max="6" width="5.10546875" style="9" customWidth="1"/>
    <col min="7" max="7" width="3.10546875" style="9" bestFit="1" customWidth="1"/>
    <col min="8" max="8" width="5.3359375" style="9" bestFit="1" customWidth="1"/>
    <col min="9" max="9" width="3.5546875" style="9" bestFit="1" customWidth="1"/>
    <col min="10" max="10" width="5.3359375" style="9" bestFit="1" customWidth="1"/>
    <col min="11" max="11" width="3.5546875" style="9" bestFit="1" customWidth="1"/>
    <col min="12" max="12" width="5.3359375" style="9" bestFit="1" customWidth="1"/>
    <col min="13" max="13" width="4.21484375" style="9" customWidth="1"/>
    <col min="14" max="14" width="5.6640625" style="9" customWidth="1"/>
    <col min="15" max="15" width="5.10546875" style="9" customWidth="1"/>
    <col min="16" max="16" width="4.6640625" style="9" customWidth="1"/>
    <col min="17" max="17" width="3.88671875" style="9" customWidth="1"/>
    <col min="18" max="18" width="3.99609375" style="9" customWidth="1"/>
    <col min="19" max="19" width="3.21484375" style="9" customWidth="1"/>
    <col min="20" max="20" width="4.21484375" style="9" customWidth="1"/>
    <col min="21" max="21" width="3.88671875" style="9" customWidth="1"/>
    <col min="22" max="23" width="3.6640625" style="9" customWidth="1"/>
    <col min="24" max="24" width="2.99609375" style="9" customWidth="1"/>
    <col min="25" max="25" width="4.4453125" style="9" customWidth="1"/>
    <col min="26" max="26" width="2.99609375" style="9" customWidth="1"/>
    <col min="27" max="27" width="4.5546875" style="9" customWidth="1"/>
    <col min="28" max="28" width="3.99609375" style="9" customWidth="1"/>
    <col min="29" max="16384" width="8.88671875" style="9" customWidth="1"/>
  </cols>
  <sheetData>
    <row r="1" spans="1:25" ht="18.75">
      <c r="A1" s="419" t="s">
        <v>23</v>
      </c>
      <c r="B1" s="419"/>
      <c r="C1" s="419"/>
      <c r="D1" s="419"/>
      <c r="J1" s="5"/>
      <c r="K1" s="5"/>
      <c r="L1" s="5"/>
      <c r="N1" s="5"/>
      <c r="O1" s="5" t="s">
        <v>51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>
      <c r="A2" s="420" t="s">
        <v>24</v>
      </c>
      <c r="B2" s="420"/>
      <c r="C2" s="420"/>
      <c r="D2" s="420"/>
      <c r="J2" s="17"/>
      <c r="K2" s="17"/>
      <c r="L2" s="17"/>
      <c r="N2" s="17"/>
      <c r="O2" s="17" t="s">
        <v>143</v>
      </c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2:25" ht="15.7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8"/>
      <c r="O3" s="108" t="s">
        <v>146</v>
      </c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7" ht="18.75" customHeight="1">
      <c r="A4" s="421" t="s">
        <v>0</v>
      </c>
      <c r="B4" s="422" t="s">
        <v>111</v>
      </c>
      <c r="C4" s="415" t="s">
        <v>141</v>
      </c>
      <c r="D4" s="409" t="s">
        <v>11</v>
      </c>
      <c r="E4" s="411"/>
      <c r="F4" s="405" t="s">
        <v>200</v>
      </c>
      <c r="G4" s="411"/>
      <c r="H4" s="475" t="s">
        <v>25</v>
      </c>
      <c r="I4" s="476"/>
      <c r="J4" s="476"/>
      <c r="K4" s="476"/>
      <c r="L4" s="476"/>
      <c r="M4" s="476"/>
      <c r="N4" s="477"/>
      <c r="O4" s="405" t="s">
        <v>159</v>
      </c>
      <c r="P4" s="406"/>
      <c r="Q4" s="409" t="s">
        <v>161</v>
      </c>
      <c r="R4" s="410"/>
      <c r="S4" s="410"/>
      <c r="T4" s="411"/>
      <c r="U4" s="401" t="s">
        <v>26</v>
      </c>
      <c r="V4" s="401"/>
      <c r="W4" s="409" t="s">
        <v>160</v>
      </c>
      <c r="X4" s="411"/>
      <c r="Y4" s="415" t="s">
        <v>48</v>
      </c>
      <c r="Z4" s="405" t="s">
        <v>199</v>
      </c>
      <c r="AA4" s="411"/>
    </row>
    <row r="5" spans="1:27" ht="12.75">
      <c r="A5" s="403"/>
      <c r="B5" s="422"/>
      <c r="C5" s="416"/>
      <c r="D5" s="412"/>
      <c r="E5" s="414"/>
      <c r="F5" s="412"/>
      <c r="G5" s="414"/>
      <c r="H5" s="472" t="s">
        <v>29</v>
      </c>
      <c r="I5" s="472"/>
      <c r="J5" s="472" t="s">
        <v>30</v>
      </c>
      <c r="K5" s="472"/>
      <c r="L5" s="472" t="s">
        <v>31</v>
      </c>
      <c r="M5" s="472"/>
      <c r="N5" s="421" t="s">
        <v>157</v>
      </c>
      <c r="O5" s="407"/>
      <c r="P5" s="408"/>
      <c r="Q5" s="412"/>
      <c r="R5" s="413"/>
      <c r="S5" s="413"/>
      <c r="T5" s="414"/>
      <c r="U5" s="401"/>
      <c r="V5" s="401"/>
      <c r="W5" s="473"/>
      <c r="X5" s="474"/>
      <c r="Y5" s="416"/>
      <c r="Z5" s="412"/>
      <c r="AA5" s="414"/>
    </row>
    <row r="6" spans="1:27" ht="38.25">
      <c r="A6" s="404"/>
      <c r="B6" s="422"/>
      <c r="C6" s="417"/>
      <c r="D6" s="11" t="s">
        <v>35</v>
      </c>
      <c r="E6" s="12" t="s">
        <v>36</v>
      </c>
      <c r="F6" s="11" t="s">
        <v>35</v>
      </c>
      <c r="G6" s="12" t="s">
        <v>36</v>
      </c>
      <c r="H6" s="11" t="s">
        <v>35</v>
      </c>
      <c r="I6" s="12" t="s">
        <v>36</v>
      </c>
      <c r="J6" s="11" t="s">
        <v>35</v>
      </c>
      <c r="K6" s="12" t="s">
        <v>36</v>
      </c>
      <c r="L6" s="11" t="s">
        <v>35</v>
      </c>
      <c r="M6" s="12" t="s">
        <v>36</v>
      </c>
      <c r="N6" s="404"/>
      <c r="O6" s="12" t="s">
        <v>158</v>
      </c>
      <c r="P6" s="12" t="s">
        <v>157</v>
      </c>
      <c r="Q6" s="11" t="s">
        <v>164</v>
      </c>
      <c r="R6" s="11" t="s">
        <v>163</v>
      </c>
      <c r="S6" s="11" t="s">
        <v>165</v>
      </c>
      <c r="T6" s="11" t="s">
        <v>162</v>
      </c>
      <c r="U6" s="12" t="s">
        <v>34</v>
      </c>
      <c r="V6" s="12" t="s">
        <v>33</v>
      </c>
      <c r="W6" s="12" t="s">
        <v>34</v>
      </c>
      <c r="X6" s="12" t="s">
        <v>33</v>
      </c>
      <c r="Y6" s="417"/>
      <c r="Z6" s="12" t="s">
        <v>194</v>
      </c>
      <c r="AA6" s="12" t="s">
        <v>195</v>
      </c>
    </row>
    <row r="7" spans="1:27" s="49" customFormat="1" ht="16.5" customHeight="1">
      <c r="A7" s="470" t="s">
        <v>166</v>
      </c>
      <c r="B7" s="471"/>
      <c r="C7" s="172">
        <f>C8+C28</f>
        <v>1</v>
      </c>
      <c r="D7" s="173">
        <f aca="true" t="shared" si="0" ref="D7:Z7">D8+D28</f>
        <v>18483</v>
      </c>
      <c r="E7" s="173">
        <f t="shared" si="0"/>
        <v>463</v>
      </c>
      <c r="F7" s="173">
        <f t="shared" si="0"/>
        <v>1706</v>
      </c>
      <c r="G7" s="173">
        <f t="shared" si="0"/>
        <v>51</v>
      </c>
      <c r="H7" s="173">
        <f t="shared" si="0"/>
        <v>7056</v>
      </c>
      <c r="I7" s="173">
        <f t="shared" si="0"/>
        <v>172</v>
      </c>
      <c r="J7" s="173">
        <f t="shared" si="0"/>
        <v>5800</v>
      </c>
      <c r="K7" s="173">
        <f t="shared" si="0"/>
        <v>148</v>
      </c>
      <c r="L7" s="173">
        <f t="shared" si="0"/>
        <v>5627</v>
      </c>
      <c r="M7" s="173">
        <f t="shared" si="0"/>
        <v>143</v>
      </c>
      <c r="N7" s="173">
        <f t="shared" si="0"/>
        <v>10822</v>
      </c>
      <c r="O7" s="173">
        <f t="shared" si="0"/>
        <v>3900</v>
      </c>
      <c r="P7" s="173">
        <f t="shared" si="0"/>
        <v>2255</v>
      </c>
      <c r="Q7" s="173">
        <f t="shared" si="0"/>
        <v>355</v>
      </c>
      <c r="R7" s="174">
        <f t="shared" si="0"/>
        <v>88</v>
      </c>
      <c r="S7" s="174">
        <f t="shared" si="0"/>
        <v>19</v>
      </c>
      <c r="T7" s="174">
        <f t="shared" si="0"/>
        <v>4</v>
      </c>
      <c r="U7" s="174">
        <f>U8+U28</f>
        <v>1047</v>
      </c>
      <c r="V7" s="174">
        <f t="shared" si="0"/>
        <v>550</v>
      </c>
      <c r="W7" s="174">
        <f t="shared" si="0"/>
        <v>55</v>
      </c>
      <c r="X7" s="174">
        <f t="shared" si="0"/>
        <v>11</v>
      </c>
      <c r="Y7" s="174">
        <f t="shared" si="0"/>
        <v>1279</v>
      </c>
      <c r="Z7" s="174">
        <f t="shared" si="0"/>
        <v>48</v>
      </c>
      <c r="AA7" s="175">
        <f>Z7/U7</f>
        <v>0.045845272206303724</v>
      </c>
    </row>
    <row r="8" spans="1:27" s="15" customFormat="1" ht="18" customHeight="1">
      <c r="A8" s="111" t="s">
        <v>155</v>
      </c>
      <c r="B8" s="13"/>
      <c r="C8" s="97">
        <f>COUNTIF(C9:C26,"X")</f>
        <v>1</v>
      </c>
      <c r="D8" s="23">
        <f aca="true" t="shared" si="1" ref="D8:Z8">SUM(D9:D26)</f>
        <v>17273</v>
      </c>
      <c r="E8" s="43">
        <f t="shared" si="1"/>
        <v>437</v>
      </c>
      <c r="F8" s="23">
        <f t="shared" si="1"/>
        <v>1706</v>
      </c>
      <c r="G8" s="43">
        <f t="shared" si="1"/>
        <v>51</v>
      </c>
      <c r="H8" s="23">
        <f t="shared" si="1"/>
        <v>6699</v>
      </c>
      <c r="I8" s="43">
        <f t="shared" si="1"/>
        <v>165</v>
      </c>
      <c r="J8" s="23">
        <f t="shared" si="1"/>
        <v>5397</v>
      </c>
      <c r="K8" s="43">
        <f t="shared" si="1"/>
        <v>139</v>
      </c>
      <c r="L8" s="23">
        <f t="shared" si="1"/>
        <v>5177</v>
      </c>
      <c r="M8" s="43">
        <f t="shared" si="1"/>
        <v>133</v>
      </c>
      <c r="N8" s="23">
        <f t="shared" si="1"/>
        <v>10285</v>
      </c>
      <c r="O8" s="43">
        <f t="shared" si="1"/>
        <v>3886</v>
      </c>
      <c r="P8" s="43">
        <f t="shared" si="1"/>
        <v>2249</v>
      </c>
      <c r="Q8" s="23">
        <f>SUM(Q9:Q26)</f>
        <v>334</v>
      </c>
      <c r="R8" s="23">
        <f>SUM(R9:R26)</f>
        <v>84</v>
      </c>
      <c r="S8" s="23">
        <f>SUM(S9:S26)</f>
        <v>18</v>
      </c>
      <c r="T8" s="23">
        <f>SUM(T9:T26)</f>
        <v>4</v>
      </c>
      <c r="U8" s="43">
        <f t="shared" si="1"/>
        <v>972</v>
      </c>
      <c r="V8" s="43">
        <f t="shared" si="1"/>
        <v>512</v>
      </c>
      <c r="W8" s="43">
        <f t="shared" si="1"/>
        <v>51</v>
      </c>
      <c r="X8" s="43">
        <f t="shared" si="1"/>
        <v>10</v>
      </c>
      <c r="Y8" s="43">
        <f t="shared" si="1"/>
        <v>1182</v>
      </c>
      <c r="Z8" s="117">
        <f t="shared" si="1"/>
        <v>48</v>
      </c>
      <c r="AA8" s="118">
        <f>Z8/U8</f>
        <v>0.04938271604938271</v>
      </c>
    </row>
    <row r="9" spans="1:27" ht="16.5" customHeight="1">
      <c r="A9" s="10">
        <v>1</v>
      </c>
      <c r="B9" s="16" t="s">
        <v>112</v>
      </c>
      <c r="C9" s="16"/>
      <c r="D9" s="16">
        <f aca="true" t="shared" si="2" ref="D9:D26">H9+J9+L9</f>
        <v>1406</v>
      </c>
      <c r="E9" s="16">
        <f aca="true" t="shared" si="3" ref="E9:E26">I9+K9+M9</f>
        <v>35</v>
      </c>
      <c r="F9" s="16"/>
      <c r="G9" s="16"/>
      <c r="H9" s="16">
        <v>497</v>
      </c>
      <c r="I9" s="30">
        <v>12</v>
      </c>
      <c r="J9" s="16">
        <v>485</v>
      </c>
      <c r="K9" s="30">
        <v>13</v>
      </c>
      <c r="L9" s="16">
        <v>424</v>
      </c>
      <c r="M9" s="30">
        <v>10</v>
      </c>
      <c r="N9" s="16">
        <v>896</v>
      </c>
      <c r="O9" s="16">
        <v>688</v>
      </c>
      <c r="P9" s="16">
        <v>444</v>
      </c>
      <c r="Q9" s="16">
        <v>19</v>
      </c>
      <c r="R9" s="16">
        <v>6</v>
      </c>
      <c r="S9" s="16">
        <v>1</v>
      </c>
      <c r="T9" s="16">
        <v>1</v>
      </c>
      <c r="U9" s="16">
        <v>79</v>
      </c>
      <c r="V9" s="16">
        <v>28</v>
      </c>
      <c r="W9" s="16">
        <v>4</v>
      </c>
      <c r="X9" s="16">
        <v>0</v>
      </c>
      <c r="Y9" s="16">
        <v>93</v>
      </c>
      <c r="Z9" s="16">
        <v>6</v>
      </c>
      <c r="AA9" s="119">
        <f aca="true" t="shared" si="4" ref="AA9:AA28">Z9/U9</f>
        <v>0.0759493670886076</v>
      </c>
    </row>
    <row r="10" spans="1:27" ht="16.5" customHeight="1">
      <c r="A10" s="10">
        <v>2</v>
      </c>
      <c r="B10" s="16" t="s">
        <v>113</v>
      </c>
      <c r="C10" s="16"/>
      <c r="D10" s="16">
        <f t="shared" si="2"/>
        <v>392</v>
      </c>
      <c r="E10" s="16">
        <f t="shared" si="3"/>
        <v>10</v>
      </c>
      <c r="F10" s="16">
        <f>60+60+86</f>
        <v>206</v>
      </c>
      <c r="G10" s="16">
        <v>6</v>
      </c>
      <c r="H10" s="16">
        <v>176</v>
      </c>
      <c r="I10" s="16">
        <v>4</v>
      </c>
      <c r="J10" s="16">
        <v>130</v>
      </c>
      <c r="K10" s="16">
        <v>4</v>
      </c>
      <c r="L10" s="16">
        <v>86</v>
      </c>
      <c r="M10" s="16">
        <v>2</v>
      </c>
      <c r="N10" s="16">
        <v>249</v>
      </c>
      <c r="O10" s="16">
        <v>252</v>
      </c>
      <c r="P10" s="16">
        <v>204</v>
      </c>
      <c r="Q10" s="16">
        <v>10</v>
      </c>
      <c r="R10" s="16">
        <v>4</v>
      </c>
      <c r="S10" s="16">
        <v>1</v>
      </c>
      <c r="T10" s="16">
        <v>0</v>
      </c>
      <c r="U10" s="16">
        <v>22</v>
      </c>
      <c r="V10" s="16">
        <v>9</v>
      </c>
      <c r="W10" s="16">
        <v>3</v>
      </c>
      <c r="X10" s="16">
        <v>0</v>
      </c>
      <c r="Y10" s="16">
        <v>32</v>
      </c>
      <c r="Z10" s="16">
        <v>0</v>
      </c>
      <c r="AA10" s="119">
        <f t="shared" si="4"/>
        <v>0</v>
      </c>
    </row>
    <row r="11" spans="1:27" ht="16.5" customHeight="1">
      <c r="A11" s="10">
        <v>3</v>
      </c>
      <c r="B11" s="16" t="s">
        <v>114</v>
      </c>
      <c r="C11" s="10" t="s">
        <v>136</v>
      </c>
      <c r="D11" s="16">
        <f t="shared" si="2"/>
        <v>1799</v>
      </c>
      <c r="E11" s="16">
        <f t="shared" si="3"/>
        <v>42</v>
      </c>
      <c r="F11" s="16"/>
      <c r="G11" s="16"/>
      <c r="H11" s="16">
        <v>662</v>
      </c>
      <c r="I11" s="16">
        <v>16</v>
      </c>
      <c r="J11" s="16">
        <v>550</v>
      </c>
      <c r="K11" s="16">
        <v>12</v>
      </c>
      <c r="L11" s="16">
        <v>587</v>
      </c>
      <c r="M11" s="16">
        <v>14</v>
      </c>
      <c r="N11" s="16">
        <v>1101</v>
      </c>
      <c r="O11" s="16">
        <v>55</v>
      </c>
      <c r="P11" s="16">
        <v>33</v>
      </c>
      <c r="Q11" s="16">
        <v>25</v>
      </c>
      <c r="R11" s="16">
        <v>9</v>
      </c>
      <c r="S11" s="16">
        <v>1</v>
      </c>
      <c r="T11" s="16">
        <v>1</v>
      </c>
      <c r="U11" s="16">
        <v>97</v>
      </c>
      <c r="V11" s="16">
        <v>66</v>
      </c>
      <c r="W11" s="16">
        <v>3</v>
      </c>
      <c r="X11" s="16">
        <v>1</v>
      </c>
      <c r="Y11" s="16">
        <v>110</v>
      </c>
      <c r="Z11" s="16">
        <v>2</v>
      </c>
      <c r="AA11" s="119">
        <f t="shared" si="4"/>
        <v>0.020618556701030927</v>
      </c>
    </row>
    <row r="12" spans="1:27" ht="16.5" customHeight="1">
      <c r="A12" s="10">
        <v>4</v>
      </c>
      <c r="B12" s="16" t="s">
        <v>198</v>
      </c>
      <c r="C12" s="16"/>
      <c r="D12" s="16">
        <f t="shared" si="2"/>
        <v>786</v>
      </c>
      <c r="E12" s="16">
        <f t="shared" si="3"/>
        <v>25</v>
      </c>
      <c r="F12" s="16">
        <v>786</v>
      </c>
      <c r="G12" s="16">
        <v>25</v>
      </c>
      <c r="H12" s="16">
        <v>241</v>
      </c>
      <c r="I12" s="16">
        <v>7</v>
      </c>
      <c r="J12" s="16">
        <v>273</v>
      </c>
      <c r="K12" s="16">
        <v>9</v>
      </c>
      <c r="L12" s="16">
        <v>272</v>
      </c>
      <c r="M12" s="16">
        <v>9</v>
      </c>
      <c r="N12" s="16">
        <v>499</v>
      </c>
      <c r="O12" s="16">
        <v>29</v>
      </c>
      <c r="P12" s="16">
        <v>23</v>
      </c>
      <c r="Q12" s="16">
        <v>24</v>
      </c>
      <c r="R12" s="16">
        <v>7</v>
      </c>
      <c r="S12" s="16">
        <v>1</v>
      </c>
      <c r="T12" s="16">
        <v>0</v>
      </c>
      <c r="U12" s="16">
        <v>64</v>
      </c>
      <c r="V12" s="16">
        <v>38</v>
      </c>
      <c r="W12" s="16">
        <v>3</v>
      </c>
      <c r="X12" s="16">
        <v>0</v>
      </c>
      <c r="Y12" s="16">
        <v>85</v>
      </c>
      <c r="Z12" s="16">
        <v>27</v>
      </c>
      <c r="AA12" s="119">
        <f t="shared" si="4"/>
        <v>0.421875</v>
      </c>
    </row>
    <row r="13" spans="1:27" ht="16.5" customHeight="1">
      <c r="A13" s="10">
        <v>5</v>
      </c>
      <c r="B13" s="16" t="s">
        <v>115</v>
      </c>
      <c r="C13" s="16"/>
      <c r="D13" s="16">
        <f t="shared" si="2"/>
        <v>296</v>
      </c>
      <c r="E13" s="16">
        <f t="shared" si="3"/>
        <v>9</v>
      </c>
      <c r="F13" s="16">
        <f>D13</f>
        <v>296</v>
      </c>
      <c r="G13" s="16">
        <f>E13</f>
        <v>9</v>
      </c>
      <c r="H13" s="16">
        <v>95</v>
      </c>
      <c r="I13" s="16">
        <v>3</v>
      </c>
      <c r="J13" s="16">
        <v>114</v>
      </c>
      <c r="K13" s="16">
        <v>3</v>
      </c>
      <c r="L13" s="16">
        <v>87</v>
      </c>
      <c r="M13" s="16">
        <v>3</v>
      </c>
      <c r="N13" s="16">
        <v>193</v>
      </c>
      <c r="O13" s="16">
        <v>290</v>
      </c>
      <c r="P13" s="16">
        <v>193</v>
      </c>
      <c r="Q13" s="16">
        <v>10</v>
      </c>
      <c r="R13" s="16">
        <v>7</v>
      </c>
      <c r="S13" s="16">
        <v>1</v>
      </c>
      <c r="T13" s="16">
        <v>1</v>
      </c>
      <c r="U13" s="16">
        <v>22</v>
      </c>
      <c r="V13" s="16">
        <v>12</v>
      </c>
      <c r="W13" s="16">
        <v>3</v>
      </c>
      <c r="X13" s="16">
        <v>3</v>
      </c>
      <c r="Y13" s="16">
        <v>43</v>
      </c>
      <c r="Z13" s="16">
        <v>2</v>
      </c>
      <c r="AA13" s="119">
        <f t="shared" si="4"/>
        <v>0.09090909090909091</v>
      </c>
    </row>
    <row r="14" spans="1:27" ht="16.5" customHeight="1">
      <c r="A14" s="10">
        <v>6</v>
      </c>
      <c r="B14" s="16" t="s">
        <v>142</v>
      </c>
      <c r="C14" s="10" t="s">
        <v>149</v>
      </c>
      <c r="D14" s="16">
        <f t="shared" si="2"/>
        <v>58</v>
      </c>
      <c r="E14" s="16">
        <f t="shared" si="3"/>
        <v>2</v>
      </c>
      <c r="F14" s="16">
        <v>58</v>
      </c>
      <c r="G14" s="16">
        <v>2</v>
      </c>
      <c r="H14" s="16">
        <v>58</v>
      </c>
      <c r="I14" s="16">
        <v>2</v>
      </c>
      <c r="J14" s="16"/>
      <c r="K14" s="16"/>
      <c r="L14" s="16"/>
      <c r="M14" s="16"/>
      <c r="N14" s="16">
        <v>46</v>
      </c>
      <c r="O14" s="16">
        <v>56</v>
      </c>
      <c r="P14" s="16">
        <v>44</v>
      </c>
      <c r="Q14" s="16">
        <v>2</v>
      </c>
      <c r="R14" s="16">
        <v>1</v>
      </c>
      <c r="S14" s="16"/>
      <c r="T14" s="16">
        <v>0</v>
      </c>
      <c r="U14" s="16">
        <v>9</v>
      </c>
      <c r="V14" s="16">
        <v>5</v>
      </c>
      <c r="W14" s="16">
        <v>1</v>
      </c>
      <c r="X14" s="16"/>
      <c r="Y14" s="16"/>
      <c r="Z14" s="16">
        <v>0</v>
      </c>
      <c r="AA14" s="119">
        <f t="shared" si="4"/>
        <v>0</v>
      </c>
    </row>
    <row r="15" spans="1:27" ht="16.5" customHeight="1">
      <c r="A15" s="10">
        <v>7</v>
      </c>
      <c r="B15" s="16" t="s">
        <v>116</v>
      </c>
      <c r="C15" s="16"/>
      <c r="D15" s="16">
        <f t="shared" si="2"/>
        <v>600</v>
      </c>
      <c r="E15" s="16">
        <f t="shared" si="3"/>
        <v>15</v>
      </c>
      <c r="F15" s="16"/>
      <c r="G15" s="16"/>
      <c r="H15" s="16">
        <v>247</v>
      </c>
      <c r="I15" s="16">
        <v>6</v>
      </c>
      <c r="J15" s="16">
        <v>155</v>
      </c>
      <c r="K15" s="16">
        <v>4</v>
      </c>
      <c r="L15" s="16">
        <v>198</v>
      </c>
      <c r="M15" s="16">
        <v>5</v>
      </c>
      <c r="N15" s="16">
        <v>342</v>
      </c>
      <c r="O15" s="16">
        <v>164</v>
      </c>
      <c r="P15" s="16">
        <v>103</v>
      </c>
      <c r="Q15" s="30">
        <v>20</v>
      </c>
      <c r="R15" s="30">
        <v>3</v>
      </c>
      <c r="S15" s="30">
        <v>1</v>
      </c>
      <c r="T15" s="16">
        <v>0</v>
      </c>
      <c r="U15" s="30">
        <v>34</v>
      </c>
      <c r="V15" s="30">
        <v>16</v>
      </c>
      <c r="W15" s="30">
        <v>2</v>
      </c>
      <c r="X15" s="30"/>
      <c r="Y15" s="30">
        <v>43</v>
      </c>
      <c r="Z15" s="16">
        <v>0</v>
      </c>
      <c r="AA15" s="119">
        <f t="shared" si="4"/>
        <v>0</v>
      </c>
    </row>
    <row r="16" spans="1:27" ht="16.5" customHeight="1">
      <c r="A16" s="10">
        <v>8</v>
      </c>
      <c r="B16" s="16" t="s">
        <v>117</v>
      </c>
      <c r="C16" s="16"/>
      <c r="D16" s="16">
        <f t="shared" si="2"/>
        <v>930</v>
      </c>
      <c r="E16" s="16">
        <f t="shared" si="3"/>
        <v>23</v>
      </c>
      <c r="F16" s="16"/>
      <c r="G16" s="16"/>
      <c r="H16" s="16">
        <v>366</v>
      </c>
      <c r="I16" s="16">
        <v>9</v>
      </c>
      <c r="J16" s="16">
        <v>286</v>
      </c>
      <c r="K16" s="16">
        <v>7</v>
      </c>
      <c r="L16" s="16">
        <v>278</v>
      </c>
      <c r="M16" s="16">
        <v>7</v>
      </c>
      <c r="N16" s="16">
        <v>525</v>
      </c>
      <c r="O16" s="16">
        <v>26</v>
      </c>
      <c r="P16" s="16">
        <v>17</v>
      </c>
      <c r="Q16" s="16">
        <v>25</v>
      </c>
      <c r="R16" s="16">
        <v>4</v>
      </c>
      <c r="S16" s="16">
        <v>1</v>
      </c>
      <c r="T16" s="16">
        <v>0</v>
      </c>
      <c r="U16" s="16">
        <v>51</v>
      </c>
      <c r="V16" s="16">
        <v>24</v>
      </c>
      <c r="W16" s="16">
        <v>3</v>
      </c>
      <c r="X16" s="16"/>
      <c r="Y16" s="16">
        <v>63</v>
      </c>
      <c r="Z16" s="16">
        <v>3</v>
      </c>
      <c r="AA16" s="119">
        <f t="shared" si="4"/>
        <v>0.058823529411764705</v>
      </c>
    </row>
    <row r="17" spans="1:27" ht="16.5" customHeight="1">
      <c r="A17" s="10">
        <v>9</v>
      </c>
      <c r="B17" s="16" t="s">
        <v>118</v>
      </c>
      <c r="C17" s="16"/>
      <c r="D17" s="16">
        <f t="shared" si="2"/>
        <v>1047</v>
      </c>
      <c r="E17" s="16">
        <f t="shared" si="3"/>
        <v>25</v>
      </c>
      <c r="F17" s="16"/>
      <c r="G17" s="16"/>
      <c r="H17" s="16">
        <v>595</v>
      </c>
      <c r="I17" s="16">
        <v>14</v>
      </c>
      <c r="J17" s="16">
        <v>257</v>
      </c>
      <c r="K17" s="16">
        <v>6</v>
      </c>
      <c r="L17" s="16">
        <v>195</v>
      </c>
      <c r="M17" s="16">
        <v>5</v>
      </c>
      <c r="N17" s="16">
        <v>509</v>
      </c>
      <c r="O17" s="16">
        <v>686</v>
      </c>
      <c r="P17" s="16">
        <v>331</v>
      </c>
      <c r="Q17" s="16">
        <v>18</v>
      </c>
      <c r="R17" s="16">
        <v>2</v>
      </c>
      <c r="S17" s="16">
        <v>1</v>
      </c>
      <c r="T17" s="16">
        <v>0</v>
      </c>
      <c r="U17" s="16">
        <v>49</v>
      </c>
      <c r="V17" s="16">
        <v>16</v>
      </c>
      <c r="W17" s="16">
        <v>3</v>
      </c>
      <c r="X17" s="16"/>
      <c r="Y17" s="16">
        <v>58</v>
      </c>
      <c r="Z17" s="16">
        <v>0</v>
      </c>
      <c r="AA17" s="119">
        <f t="shared" si="4"/>
        <v>0</v>
      </c>
    </row>
    <row r="18" spans="1:27" ht="16.5" customHeight="1">
      <c r="A18" s="10">
        <v>10</v>
      </c>
      <c r="B18" s="16" t="s">
        <v>119</v>
      </c>
      <c r="C18" s="16"/>
      <c r="D18" s="16">
        <f t="shared" si="2"/>
        <v>2097</v>
      </c>
      <c r="E18" s="16">
        <f t="shared" si="3"/>
        <v>50</v>
      </c>
      <c r="F18" s="16"/>
      <c r="G18" s="16"/>
      <c r="H18" s="16">
        <f>45+45+44+43+42+43+44+42+39+40+40+41+36+36+36+41+40</f>
        <v>697</v>
      </c>
      <c r="I18" s="16">
        <v>17</v>
      </c>
      <c r="J18" s="16">
        <f>49+44+41+42+41+38+42+40+42+41+45+44+47+43+46+46</f>
        <v>691</v>
      </c>
      <c r="K18" s="16">
        <v>16</v>
      </c>
      <c r="L18" s="16">
        <f>48+40+42+40+42+43+41+41+41+41+44+42+42+41+40+41+40</f>
        <v>709</v>
      </c>
      <c r="M18" s="16">
        <v>17</v>
      </c>
      <c r="N18" s="16">
        <v>1428</v>
      </c>
      <c r="O18" s="16">
        <v>88</v>
      </c>
      <c r="P18" s="16"/>
      <c r="Q18" s="16">
        <v>30</v>
      </c>
      <c r="R18" s="16">
        <v>5</v>
      </c>
      <c r="S18" s="16">
        <v>1</v>
      </c>
      <c r="T18" s="16">
        <v>0</v>
      </c>
      <c r="U18" s="16">
        <v>106</v>
      </c>
      <c r="V18" s="16">
        <v>71</v>
      </c>
      <c r="W18" s="16">
        <v>4</v>
      </c>
      <c r="X18" s="16">
        <v>2</v>
      </c>
      <c r="Y18" s="16">
        <v>122</v>
      </c>
      <c r="Z18" s="16">
        <v>3</v>
      </c>
      <c r="AA18" s="119">
        <f t="shared" si="4"/>
        <v>0.02830188679245283</v>
      </c>
    </row>
    <row r="19" spans="1:27" ht="16.5" customHeight="1">
      <c r="A19" s="10">
        <v>11</v>
      </c>
      <c r="B19" s="16" t="s">
        <v>120</v>
      </c>
      <c r="C19" s="16"/>
      <c r="D19" s="16">
        <f t="shared" si="2"/>
        <v>638</v>
      </c>
      <c r="E19" s="16">
        <f t="shared" si="3"/>
        <v>16</v>
      </c>
      <c r="F19" s="16"/>
      <c r="G19" s="16"/>
      <c r="H19" s="16">
        <v>214</v>
      </c>
      <c r="I19" s="16">
        <v>5</v>
      </c>
      <c r="J19" s="16">
        <v>170</v>
      </c>
      <c r="K19" s="16">
        <v>5</v>
      </c>
      <c r="L19" s="16">
        <v>254</v>
      </c>
      <c r="M19" s="16">
        <v>6</v>
      </c>
      <c r="N19" s="16">
        <v>367</v>
      </c>
      <c r="O19" s="16">
        <v>193</v>
      </c>
      <c r="P19" s="16">
        <v>102</v>
      </c>
      <c r="Q19" s="16">
        <v>24</v>
      </c>
      <c r="R19" s="16">
        <v>2</v>
      </c>
      <c r="S19" s="16">
        <v>1</v>
      </c>
      <c r="T19" s="16">
        <v>0</v>
      </c>
      <c r="U19" s="16">
        <v>34</v>
      </c>
      <c r="V19" s="16">
        <v>13</v>
      </c>
      <c r="W19" s="16">
        <v>2</v>
      </c>
      <c r="X19" s="16">
        <v>0</v>
      </c>
      <c r="Y19" s="16">
        <v>42</v>
      </c>
      <c r="Z19" s="16">
        <v>0</v>
      </c>
      <c r="AA19" s="119">
        <f t="shared" si="4"/>
        <v>0</v>
      </c>
    </row>
    <row r="20" spans="1:27" ht="16.5" customHeight="1">
      <c r="A20" s="10">
        <v>12</v>
      </c>
      <c r="B20" s="16" t="s">
        <v>121</v>
      </c>
      <c r="C20" s="16"/>
      <c r="D20" s="16">
        <f t="shared" si="2"/>
        <v>1201</v>
      </c>
      <c r="E20" s="16">
        <f t="shared" si="3"/>
        <v>30</v>
      </c>
      <c r="F20" s="16"/>
      <c r="G20" s="16"/>
      <c r="H20" s="16">
        <v>414</v>
      </c>
      <c r="I20" s="16">
        <v>10</v>
      </c>
      <c r="J20" s="16">
        <v>355</v>
      </c>
      <c r="K20" s="16">
        <v>9</v>
      </c>
      <c r="L20" s="16">
        <v>432</v>
      </c>
      <c r="M20" s="16">
        <v>11</v>
      </c>
      <c r="N20" s="16">
        <v>758</v>
      </c>
      <c r="O20" s="16">
        <v>35</v>
      </c>
      <c r="P20" s="16">
        <v>19</v>
      </c>
      <c r="Q20" s="16">
        <v>18</v>
      </c>
      <c r="R20" s="16">
        <v>4</v>
      </c>
      <c r="S20" s="16">
        <v>1</v>
      </c>
      <c r="T20" s="16">
        <v>0</v>
      </c>
      <c r="U20" s="16">
        <v>71</v>
      </c>
      <c r="V20" s="16">
        <v>37</v>
      </c>
      <c r="W20" s="16">
        <v>4</v>
      </c>
      <c r="X20" s="16">
        <v>1</v>
      </c>
      <c r="Y20" s="16">
        <v>85</v>
      </c>
      <c r="Z20" s="16">
        <v>0</v>
      </c>
      <c r="AA20" s="119">
        <f t="shared" si="4"/>
        <v>0</v>
      </c>
    </row>
    <row r="21" spans="1:27" s="48" customFormat="1" ht="16.5" customHeight="1">
      <c r="A21" s="46">
        <v>13</v>
      </c>
      <c r="B21" s="47" t="s">
        <v>122</v>
      </c>
      <c r="C21" s="47"/>
      <c r="D21" s="47">
        <f t="shared" si="2"/>
        <v>1152</v>
      </c>
      <c r="E21" s="47">
        <f t="shared" si="3"/>
        <v>29</v>
      </c>
      <c r="F21" s="47"/>
      <c r="G21" s="47"/>
      <c r="H21" s="47">
        <v>525</v>
      </c>
      <c r="I21" s="47">
        <v>12</v>
      </c>
      <c r="J21" s="47">
        <v>306</v>
      </c>
      <c r="K21" s="47">
        <v>8</v>
      </c>
      <c r="L21" s="47">
        <v>321</v>
      </c>
      <c r="M21" s="47">
        <v>9</v>
      </c>
      <c r="N21" s="47">
        <v>627</v>
      </c>
      <c r="O21" s="47">
        <v>638</v>
      </c>
      <c r="P21" s="47">
        <v>342</v>
      </c>
      <c r="Q21" s="47">
        <v>18</v>
      </c>
      <c r="R21" s="47">
        <v>3</v>
      </c>
      <c r="S21" s="47">
        <v>1</v>
      </c>
      <c r="T21" s="47">
        <v>0</v>
      </c>
      <c r="U21" s="47">
        <v>65</v>
      </c>
      <c r="V21" s="47">
        <v>31</v>
      </c>
      <c r="W21" s="47">
        <v>3</v>
      </c>
      <c r="X21" s="47">
        <v>1</v>
      </c>
      <c r="Y21" s="47">
        <v>79</v>
      </c>
      <c r="Z21" s="47">
        <v>1</v>
      </c>
      <c r="AA21" s="176">
        <f t="shared" si="4"/>
        <v>0.015384615384615385</v>
      </c>
    </row>
    <row r="22" spans="1:27" ht="16.5" customHeight="1">
      <c r="A22" s="10">
        <v>14</v>
      </c>
      <c r="B22" s="16" t="s">
        <v>123</v>
      </c>
      <c r="C22" s="16"/>
      <c r="D22" s="16">
        <f t="shared" si="2"/>
        <v>487</v>
      </c>
      <c r="E22" s="16">
        <f t="shared" si="3"/>
        <v>13</v>
      </c>
      <c r="F22" s="16"/>
      <c r="G22" s="16"/>
      <c r="H22" s="16">
        <v>236</v>
      </c>
      <c r="I22" s="16">
        <v>6</v>
      </c>
      <c r="J22" s="16">
        <v>111</v>
      </c>
      <c r="K22" s="16">
        <v>3</v>
      </c>
      <c r="L22" s="16">
        <v>140</v>
      </c>
      <c r="M22" s="16">
        <v>4</v>
      </c>
      <c r="N22" s="16">
        <v>256</v>
      </c>
      <c r="O22" s="16">
        <v>276</v>
      </c>
      <c r="P22" s="16">
        <v>154</v>
      </c>
      <c r="Q22" s="30">
        <v>8</v>
      </c>
      <c r="R22" s="30">
        <v>2</v>
      </c>
      <c r="S22" s="30">
        <v>1</v>
      </c>
      <c r="T22" s="16">
        <v>0</v>
      </c>
      <c r="U22" s="30">
        <v>23</v>
      </c>
      <c r="V22" s="30">
        <v>11</v>
      </c>
      <c r="W22" s="30">
        <v>2</v>
      </c>
      <c r="X22" s="30"/>
      <c r="Y22" s="30">
        <v>33</v>
      </c>
      <c r="Z22" s="16">
        <v>1</v>
      </c>
      <c r="AA22" s="119">
        <f t="shared" si="4"/>
        <v>0.043478260869565216</v>
      </c>
    </row>
    <row r="23" spans="1:27" ht="16.5" customHeight="1">
      <c r="A23" s="10">
        <v>15</v>
      </c>
      <c r="B23" s="16" t="s">
        <v>124</v>
      </c>
      <c r="C23" s="16"/>
      <c r="D23" s="16">
        <f t="shared" si="2"/>
        <v>1798</v>
      </c>
      <c r="E23" s="16">
        <f t="shared" si="3"/>
        <v>46</v>
      </c>
      <c r="F23" s="16"/>
      <c r="G23" s="16"/>
      <c r="H23" s="16">
        <v>615</v>
      </c>
      <c r="I23" s="16">
        <v>16</v>
      </c>
      <c r="J23" s="16">
        <v>594</v>
      </c>
      <c r="K23" s="16">
        <v>15</v>
      </c>
      <c r="L23" s="16">
        <v>589</v>
      </c>
      <c r="M23" s="16">
        <v>15</v>
      </c>
      <c r="N23" s="16">
        <v>1032</v>
      </c>
      <c r="O23" s="16">
        <v>107</v>
      </c>
      <c r="P23" s="16">
        <v>70</v>
      </c>
      <c r="Q23" s="16">
        <v>30</v>
      </c>
      <c r="R23" s="16">
        <v>9</v>
      </c>
      <c r="S23" s="16">
        <v>2</v>
      </c>
      <c r="T23" s="16">
        <v>1</v>
      </c>
      <c r="U23" s="16">
        <v>104</v>
      </c>
      <c r="V23" s="16">
        <v>59</v>
      </c>
      <c r="W23" s="16">
        <v>4</v>
      </c>
      <c r="X23" s="16">
        <v>2</v>
      </c>
      <c r="Y23" s="16">
        <v>122</v>
      </c>
      <c r="Z23" s="16">
        <v>2</v>
      </c>
      <c r="AA23" s="119">
        <f t="shared" si="4"/>
        <v>0.019230769230769232</v>
      </c>
    </row>
    <row r="24" spans="1:27" ht="16.5" customHeight="1">
      <c r="A24" s="10">
        <v>16</v>
      </c>
      <c r="B24" s="16" t="s">
        <v>125</v>
      </c>
      <c r="C24" s="16"/>
      <c r="D24" s="16">
        <f t="shared" si="2"/>
        <v>1117</v>
      </c>
      <c r="E24" s="16">
        <f t="shared" si="3"/>
        <v>28</v>
      </c>
      <c r="F24" s="16">
        <v>360</v>
      </c>
      <c r="G24" s="16">
        <v>9</v>
      </c>
      <c r="H24" s="16">
        <v>421</v>
      </c>
      <c r="I24" s="16">
        <v>10</v>
      </c>
      <c r="J24" s="16">
        <v>412</v>
      </c>
      <c r="K24" s="16">
        <v>11</v>
      </c>
      <c r="L24" s="16">
        <v>284</v>
      </c>
      <c r="M24" s="16">
        <v>7</v>
      </c>
      <c r="N24" s="16">
        <v>670</v>
      </c>
      <c r="O24" s="16">
        <v>264</v>
      </c>
      <c r="P24" s="16">
        <v>142</v>
      </c>
      <c r="Q24" s="16">
        <v>16</v>
      </c>
      <c r="R24" s="16">
        <v>4</v>
      </c>
      <c r="S24" s="16">
        <v>1</v>
      </c>
      <c r="T24" s="16">
        <v>0</v>
      </c>
      <c r="U24" s="16">
        <v>61</v>
      </c>
      <c r="V24" s="16">
        <v>34</v>
      </c>
      <c r="W24" s="16">
        <v>2</v>
      </c>
      <c r="X24" s="16">
        <v>0</v>
      </c>
      <c r="Y24" s="16">
        <v>72</v>
      </c>
      <c r="Z24" s="16">
        <v>0</v>
      </c>
      <c r="AA24" s="119">
        <f t="shared" si="4"/>
        <v>0</v>
      </c>
    </row>
    <row r="25" spans="1:27" ht="16.5" customHeight="1">
      <c r="A25" s="10">
        <v>17</v>
      </c>
      <c r="B25" s="16" t="s">
        <v>127</v>
      </c>
      <c r="C25" s="16"/>
      <c r="D25" s="16">
        <f t="shared" si="2"/>
        <v>1079</v>
      </c>
      <c r="E25" s="16">
        <f t="shared" si="3"/>
        <v>28</v>
      </c>
      <c r="F25" s="16"/>
      <c r="G25" s="16"/>
      <c r="H25" s="16">
        <v>420</v>
      </c>
      <c r="I25" s="16">
        <v>10</v>
      </c>
      <c r="J25" s="16">
        <v>338</v>
      </c>
      <c r="K25" s="16">
        <v>9</v>
      </c>
      <c r="L25" s="16">
        <v>321</v>
      </c>
      <c r="M25" s="16">
        <v>9</v>
      </c>
      <c r="N25" s="16">
        <v>591</v>
      </c>
      <c r="O25" s="16">
        <v>39</v>
      </c>
      <c r="P25" s="16">
        <v>28</v>
      </c>
      <c r="Q25" s="16">
        <v>19</v>
      </c>
      <c r="R25" s="16">
        <v>7</v>
      </c>
      <c r="S25" s="16">
        <v>1</v>
      </c>
      <c r="T25" s="16">
        <v>0</v>
      </c>
      <c r="U25" s="16">
        <v>58</v>
      </c>
      <c r="V25" s="16">
        <v>32</v>
      </c>
      <c r="W25" s="16">
        <v>3</v>
      </c>
      <c r="X25" s="16">
        <v>0</v>
      </c>
      <c r="Y25" s="16">
        <v>69</v>
      </c>
      <c r="Z25" s="16">
        <v>1</v>
      </c>
      <c r="AA25" s="119">
        <f t="shared" si="4"/>
        <v>0.017241379310344827</v>
      </c>
    </row>
    <row r="26" spans="1:27" ht="16.5" customHeight="1">
      <c r="A26" s="10">
        <v>18</v>
      </c>
      <c r="B26" s="16" t="s">
        <v>128</v>
      </c>
      <c r="C26" s="16"/>
      <c r="D26" s="16">
        <f t="shared" si="2"/>
        <v>390</v>
      </c>
      <c r="E26" s="16">
        <f t="shared" si="3"/>
        <v>11</v>
      </c>
      <c r="F26" s="16"/>
      <c r="G26" s="16"/>
      <c r="H26" s="16">
        <v>220</v>
      </c>
      <c r="I26" s="16">
        <v>6</v>
      </c>
      <c r="J26" s="16">
        <v>170</v>
      </c>
      <c r="K26" s="16">
        <v>5</v>
      </c>
      <c r="L26" s="16"/>
      <c r="M26" s="16"/>
      <c r="N26" s="16">
        <v>196</v>
      </c>
      <c r="O26" s="16"/>
      <c r="P26" s="16"/>
      <c r="Q26" s="16">
        <v>18</v>
      </c>
      <c r="R26" s="16">
        <v>5</v>
      </c>
      <c r="S26" s="16">
        <v>1</v>
      </c>
      <c r="T26" s="16">
        <v>0</v>
      </c>
      <c r="U26" s="16">
        <v>23</v>
      </c>
      <c r="V26" s="16">
        <v>10</v>
      </c>
      <c r="W26" s="16">
        <v>2</v>
      </c>
      <c r="X26" s="16">
        <v>0</v>
      </c>
      <c r="Y26" s="16">
        <v>31</v>
      </c>
      <c r="Z26" s="16">
        <v>0</v>
      </c>
      <c r="AA26" s="119">
        <f t="shared" si="4"/>
        <v>0</v>
      </c>
    </row>
    <row r="27" spans="1:25" ht="16.5" customHeight="1">
      <c r="A27" s="110" t="s">
        <v>156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7" ht="16.5" customHeight="1">
      <c r="A28" s="10">
        <v>19</v>
      </c>
      <c r="B28" s="16" t="s">
        <v>126</v>
      </c>
      <c r="C28" s="16"/>
      <c r="D28" s="16">
        <f>H28+J28+L28</f>
        <v>1210</v>
      </c>
      <c r="E28" s="16">
        <f>I28+K28+M28</f>
        <v>26</v>
      </c>
      <c r="F28" s="16"/>
      <c r="G28" s="16"/>
      <c r="H28" s="16">
        <v>357</v>
      </c>
      <c r="I28" s="16">
        <v>7</v>
      </c>
      <c r="J28" s="16">
        <v>403</v>
      </c>
      <c r="K28" s="16">
        <v>9</v>
      </c>
      <c r="L28" s="16">
        <v>450</v>
      </c>
      <c r="M28" s="16">
        <v>10</v>
      </c>
      <c r="N28" s="16">
        <v>537</v>
      </c>
      <c r="O28" s="16">
        <v>14</v>
      </c>
      <c r="P28" s="16">
        <v>6</v>
      </c>
      <c r="Q28" s="30">
        <v>21</v>
      </c>
      <c r="R28" s="30">
        <v>4</v>
      </c>
      <c r="S28" s="30">
        <v>1</v>
      </c>
      <c r="T28" s="16">
        <v>0</v>
      </c>
      <c r="U28" s="30">
        <v>75</v>
      </c>
      <c r="V28" s="30">
        <v>38</v>
      </c>
      <c r="W28" s="30">
        <v>4</v>
      </c>
      <c r="X28" s="30">
        <v>1</v>
      </c>
      <c r="Y28" s="30">
        <v>97</v>
      </c>
      <c r="Z28" s="16">
        <v>0</v>
      </c>
      <c r="AA28" s="119">
        <f t="shared" si="4"/>
        <v>0</v>
      </c>
    </row>
    <row r="29" ht="12.75">
      <c r="T29" s="101"/>
    </row>
    <row r="30" ht="12.75">
      <c r="R30" s="109"/>
    </row>
    <row r="31" ht="12.75">
      <c r="R31" s="109"/>
    </row>
    <row r="32" spans="18:20" ht="12.75">
      <c r="R32" s="109"/>
      <c r="T32" s="112" t="s">
        <v>259</v>
      </c>
    </row>
    <row r="33" spans="3:20" ht="12.75">
      <c r="C33" s="27" t="s">
        <v>85</v>
      </c>
      <c r="T33" s="3" t="s">
        <v>66</v>
      </c>
    </row>
    <row r="34" ht="12.75">
      <c r="T34" s="3" t="s">
        <v>67</v>
      </c>
    </row>
    <row r="35" ht="12.75">
      <c r="T35" s="20"/>
    </row>
    <row r="36" ht="12.75">
      <c r="T36" s="20"/>
    </row>
    <row r="37" ht="12.75">
      <c r="T37" s="20"/>
    </row>
    <row r="38" ht="12.75">
      <c r="C38" s="18" t="s">
        <v>86</v>
      </c>
    </row>
    <row r="40" ht="15.75">
      <c r="T40" s="17" t="s">
        <v>84</v>
      </c>
    </row>
  </sheetData>
  <mergeCells count="19">
    <mergeCell ref="Q4:T5"/>
    <mergeCell ref="F4:G5"/>
    <mergeCell ref="A1:D1"/>
    <mergeCell ref="A2:D2"/>
    <mergeCell ref="O4:P5"/>
    <mergeCell ref="N5:N6"/>
    <mergeCell ref="L5:M5"/>
    <mergeCell ref="C4:C6"/>
    <mergeCell ref="H4:N4"/>
    <mergeCell ref="Z4:AA5"/>
    <mergeCell ref="A7:B7"/>
    <mergeCell ref="Y4:Y6"/>
    <mergeCell ref="A4:A6"/>
    <mergeCell ref="B4:B6"/>
    <mergeCell ref="H5:I5"/>
    <mergeCell ref="J5:K5"/>
    <mergeCell ref="D4:E5"/>
    <mergeCell ref="W4:X5"/>
    <mergeCell ref="U4:V5"/>
  </mergeCells>
  <printOptions horizontalCentered="1"/>
  <pageMargins left="0" right="0" top="0.2362204724409449" bottom="0.2362204724409449" header="0.5118110236220472" footer="0.511811023622047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0"/>
  <sheetViews>
    <sheetView workbookViewId="0" topLeftCell="A1">
      <selection activeCell="O52" sqref="O52"/>
    </sheetView>
  </sheetViews>
  <sheetFormatPr defaultColWidth="8.88671875" defaultRowHeight="18.75"/>
  <cols>
    <col min="1" max="1" width="2.3359375" style="9" bestFit="1" customWidth="1"/>
    <col min="2" max="2" width="16.5546875" style="9" customWidth="1"/>
    <col min="3" max="3" width="5.88671875" style="9" customWidth="1"/>
    <col min="4" max="4" width="6.10546875" style="9" customWidth="1"/>
    <col min="5" max="5" width="5.5546875" style="9" customWidth="1"/>
    <col min="6" max="6" width="4.88671875" style="9" customWidth="1"/>
    <col min="7" max="7" width="5.4453125" style="9" customWidth="1"/>
    <col min="8" max="8" width="4.6640625" style="9" customWidth="1"/>
    <col min="9" max="9" width="3.99609375" style="9" customWidth="1"/>
    <col min="10" max="10" width="3.6640625" style="9" customWidth="1"/>
    <col min="11" max="11" width="3.99609375" style="9" customWidth="1"/>
    <col min="12" max="12" width="4.21484375" style="9" customWidth="1"/>
    <col min="13" max="13" width="3.88671875" style="9" customWidth="1"/>
    <col min="14" max="17" width="3.99609375" style="9" customWidth="1"/>
    <col min="18" max="18" width="4.99609375" style="9" customWidth="1"/>
    <col min="19" max="19" width="4.3359375" style="9" customWidth="1"/>
    <col min="20" max="20" width="4.10546875" style="9" customWidth="1"/>
    <col min="21" max="21" width="4.6640625" style="9" customWidth="1"/>
    <col min="22" max="22" width="4.3359375" style="9" customWidth="1"/>
    <col min="23" max="16384" width="8.88671875" style="9" customWidth="1"/>
  </cols>
  <sheetData>
    <row r="1" spans="1:22" ht="18.75">
      <c r="A1" s="419" t="s">
        <v>23</v>
      </c>
      <c r="B1" s="419"/>
      <c r="C1" s="419"/>
      <c r="D1" s="419"/>
      <c r="E1" s="27"/>
      <c r="L1" s="5"/>
      <c r="M1" s="5"/>
      <c r="N1" s="5"/>
      <c r="O1" s="21" t="s">
        <v>231</v>
      </c>
      <c r="P1" s="5"/>
      <c r="Q1" s="5"/>
      <c r="R1" s="5"/>
      <c r="T1" s="5"/>
      <c r="U1" s="5"/>
      <c r="V1" s="5"/>
    </row>
    <row r="2" spans="1:22" ht="15.75">
      <c r="A2" s="420" t="s">
        <v>24</v>
      </c>
      <c r="B2" s="420"/>
      <c r="C2" s="420"/>
      <c r="D2" s="420"/>
      <c r="E2" s="28"/>
      <c r="K2" s="17"/>
      <c r="L2" s="17"/>
      <c r="M2" s="17"/>
      <c r="N2" s="17"/>
      <c r="O2" s="17" t="s">
        <v>143</v>
      </c>
      <c r="P2" s="17"/>
      <c r="Q2" s="17"/>
      <c r="R2" s="17"/>
      <c r="T2" s="17"/>
      <c r="U2" s="17"/>
      <c r="V2" s="17"/>
    </row>
    <row r="3" spans="2:22" ht="15.75">
      <c r="B3" s="108"/>
      <c r="C3" s="108"/>
      <c r="D3" s="108"/>
      <c r="E3" s="108"/>
      <c r="F3" s="108"/>
      <c r="G3" s="108"/>
      <c r="H3" s="108"/>
      <c r="I3" s="108"/>
      <c r="K3" s="108"/>
      <c r="L3" s="108"/>
      <c r="M3" s="108"/>
      <c r="N3" s="108"/>
      <c r="O3" s="108" t="s">
        <v>146</v>
      </c>
      <c r="P3" s="108"/>
      <c r="Q3" s="108"/>
      <c r="R3" s="108"/>
      <c r="T3" s="108"/>
      <c r="U3" s="108"/>
      <c r="V3" s="108"/>
    </row>
    <row r="4" spans="2:22" ht="16.5" thickBot="1">
      <c r="B4" s="108"/>
      <c r="C4" s="108"/>
      <c r="D4" s="108"/>
      <c r="E4" s="108"/>
      <c r="F4" s="108"/>
      <c r="G4" s="108"/>
      <c r="H4" s="108"/>
      <c r="I4" s="108"/>
      <c r="J4" s="109"/>
      <c r="K4" s="108"/>
      <c r="L4" s="108"/>
      <c r="M4" s="108"/>
      <c r="N4" s="108"/>
      <c r="O4" s="108"/>
      <c r="P4" s="108"/>
      <c r="Q4" s="108"/>
      <c r="R4" s="108"/>
      <c r="S4" s="109"/>
      <c r="T4" s="108"/>
      <c r="U4" s="108"/>
      <c r="V4" s="108"/>
    </row>
    <row r="5" spans="1:22" ht="18.75" customHeight="1">
      <c r="A5" s="504" t="s">
        <v>0</v>
      </c>
      <c r="B5" s="507" t="s">
        <v>41</v>
      </c>
      <c r="C5" s="500" t="s">
        <v>28</v>
      </c>
      <c r="D5" s="502"/>
      <c r="E5" s="495" t="s">
        <v>25</v>
      </c>
      <c r="F5" s="503"/>
      <c r="G5" s="503"/>
      <c r="H5" s="503"/>
      <c r="I5" s="503"/>
      <c r="J5" s="503"/>
      <c r="K5" s="481" t="s">
        <v>157</v>
      </c>
      <c r="L5" s="487" t="s">
        <v>68</v>
      </c>
      <c r="M5" s="488"/>
      <c r="N5" s="500" t="s">
        <v>161</v>
      </c>
      <c r="O5" s="501"/>
      <c r="P5" s="501"/>
      <c r="Q5" s="502"/>
      <c r="R5" s="481" t="s">
        <v>26</v>
      </c>
      <c r="S5" s="481"/>
      <c r="T5" s="495" t="s">
        <v>160</v>
      </c>
      <c r="U5" s="496"/>
      <c r="V5" s="497" t="s">
        <v>27</v>
      </c>
    </row>
    <row r="6" spans="1:22" ht="20.25" customHeight="1">
      <c r="A6" s="505"/>
      <c r="B6" s="422"/>
      <c r="C6" s="412"/>
      <c r="D6" s="414"/>
      <c r="E6" s="394" t="s">
        <v>29</v>
      </c>
      <c r="F6" s="397"/>
      <c r="G6" s="394" t="s">
        <v>30</v>
      </c>
      <c r="H6" s="397"/>
      <c r="I6" s="394" t="s">
        <v>31</v>
      </c>
      <c r="J6" s="418"/>
      <c r="K6" s="401"/>
      <c r="L6" s="407"/>
      <c r="M6" s="408"/>
      <c r="N6" s="412"/>
      <c r="O6" s="413"/>
      <c r="P6" s="413"/>
      <c r="Q6" s="414"/>
      <c r="R6" s="401" t="s">
        <v>34</v>
      </c>
      <c r="S6" s="401" t="s">
        <v>33</v>
      </c>
      <c r="T6" s="401" t="s">
        <v>34</v>
      </c>
      <c r="U6" s="401" t="s">
        <v>33</v>
      </c>
      <c r="V6" s="498"/>
    </row>
    <row r="7" spans="1:22" ht="38.25">
      <c r="A7" s="506"/>
      <c r="B7" s="422"/>
      <c r="C7" s="11" t="s">
        <v>35</v>
      </c>
      <c r="D7" s="12" t="s">
        <v>36</v>
      </c>
      <c r="E7" s="11" t="s">
        <v>35</v>
      </c>
      <c r="F7" s="12" t="s">
        <v>36</v>
      </c>
      <c r="G7" s="11" t="s">
        <v>35</v>
      </c>
      <c r="H7" s="12" t="s">
        <v>36</v>
      </c>
      <c r="I7" s="11" t="s">
        <v>35</v>
      </c>
      <c r="J7" s="107" t="s">
        <v>36</v>
      </c>
      <c r="K7" s="401"/>
      <c r="L7" s="12" t="s">
        <v>158</v>
      </c>
      <c r="M7" s="12" t="s">
        <v>157</v>
      </c>
      <c r="N7" s="11" t="s">
        <v>164</v>
      </c>
      <c r="O7" s="11" t="s">
        <v>163</v>
      </c>
      <c r="P7" s="11" t="s">
        <v>165</v>
      </c>
      <c r="Q7" s="11" t="s">
        <v>162</v>
      </c>
      <c r="R7" s="401"/>
      <c r="S7" s="401"/>
      <c r="T7" s="401"/>
      <c r="U7" s="401"/>
      <c r="V7" s="499"/>
    </row>
    <row r="8" spans="1:22" s="15" customFormat="1" ht="18.75" customHeight="1">
      <c r="A8" s="179" t="s">
        <v>133</v>
      </c>
      <c r="B8" s="115" t="s">
        <v>101</v>
      </c>
      <c r="C8" s="14">
        <f aca="true" t="shared" si="0" ref="C8:V8">SUM(C9:C12)</f>
        <v>2182</v>
      </c>
      <c r="D8" s="14">
        <f t="shared" si="0"/>
        <v>44</v>
      </c>
      <c r="E8" s="14">
        <f t="shared" si="0"/>
        <v>912</v>
      </c>
      <c r="F8" s="14">
        <f t="shared" si="0"/>
        <v>18</v>
      </c>
      <c r="G8" s="14">
        <f t="shared" si="0"/>
        <v>653</v>
      </c>
      <c r="H8" s="14">
        <f t="shared" si="0"/>
        <v>13</v>
      </c>
      <c r="I8" s="14">
        <f t="shared" si="0"/>
        <v>617</v>
      </c>
      <c r="J8" s="14">
        <f t="shared" si="0"/>
        <v>13</v>
      </c>
      <c r="K8" s="14">
        <f t="shared" si="0"/>
        <v>839</v>
      </c>
      <c r="L8" s="14">
        <f t="shared" si="0"/>
        <v>542</v>
      </c>
      <c r="M8" s="14">
        <f t="shared" si="0"/>
        <v>205</v>
      </c>
      <c r="N8" s="25">
        <f>SUM(N9:N12)</f>
        <v>77</v>
      </c>
      <c r="O8" s="25">
        <f>SUM(O9:O12)</f>
        <v>18</v>
      </c>
      <c r="P8" s="25">
        <f>SUM(P9:P12)</f>
        <v>4</v>
      </c>
      <c r="Q8" s="25">
        <f>SUM(Q9:Q12)</f>
        <v>0</v>
      </c>
      <c r="R8" s="14">
        <f t="shared" si="0"/>
        <v>99</v>
      </c>
      <c r="S8" s="14">
        <f t="shared" si="0"/>
        <v>52</v>
      </c>
      <c r="T8" s="14">
        <f t="shared" si="0"/>
        <v>11</v>
      </c>
      <c r="U8" s="14">
        <f t="shared" si="0"/>
        <v>2</v>
      </c>
      <c r="V8" s="180">
        <f t="shared" si="0"/>
        <v>150</v>
      </c>
    </row>
    <row r="9" spans="1:22" ht="15.75" customHeight="1">
      <c r="A9" s="130">
        <v>1</v>
      </c>
      <c r="B9" s="16" t="s">
        <v>189</v>
      </c>
      <c r="C9" s="16">
        <f aca="true" t="shared" si="1" ref="C9:D12">E9+G9+I9</f>
        <v>1588</v>
      </c>
      <c r="D9" s="16">
        <f t="shared" si="1"/>
        <v>30</v>
      </c>
      <c r="E9" s="16">
        <v>725</v>
      </c>
      <c r="F9" s="16">
        <v>13</v>
      </c>
      <c r="G9" s="16">
        <v>454</v>
      </c>
      <c r="H9" s="16">
        <v>9</v>
      </c>
      <c r="I9" s="16">
        <v>409</v>
      </c>
      <c r="J9" s="16">
        <v>8</v>
      </c>
      <c r="K9" s="16">
        <v>640</v>
      </c>
      <c r="L9" s="16">
        <v>217</v>
      </c>
      <c r="M9" s="16">
        <v>88</v>
      </c>
      <c r="N9" s="16">
        <v>14</v>
      </c>
      <c r="O9" s="16">
        <v>4</v>
      </c>
      <c r="P9" s="16">
        <v>1</v>
      </c>
      <c r="Q9" s="16">
        <v>0</v>
      </c>
      <c r="R9" s="16">
        <v>10</v>
      </c>
      <c r="S9" s="16">
        <v>6</v>
      </c>
      <c r="T9" s="16">
        <v>3</v>
      </c>
      <c r="U9" s="16">
        <v>0</v>
      </c>
      <c r="V9" s="120">
        <v>24</v>
      </c>
    </row>
    <row r="10" spans="1:22" ht="15.75" customHeight="1">
      <c r="A10" s="130">
        <v>2</v>
      </c>
      <c r="B10" s="16" t="s">
        <v>190</v>
      </c>
      <c r="C10" s="16">
        <f t="shared" si="1"/>
        <v>167</v>
      </c>
      <c r="D10" s="16">
        <f t="shared" si="1"/>
        <v>5</v>
      </c>
      <c r="E10" s="16">
        <v>68</v>
      </c>
      <c r="F10" s="16">
        <v>2</v>
      </c>
      <c r="G10" s="16">
        <v>40</v>
      </c>
      <c r="H10" s="16">
        <v>1</v>
      </c>
      <c r="I10" s="16">
        <v>59</v>
      </c>
      <c r="J10" s="16">
        <v>2</v>
      </c>
      <c r="K10" s="16">
        <v>55</v>
      </c>
      <c r="L10" s="16">
        <v>43</v>
      </c>
      <c r="M10" s="16">
        <v>14</v>
      </c>
      <c r="N10" s="16">
        <v>28</v>
      </c>
      <c r="O10" s="16">
        <v>5</v>
      </c>
      <c r="P10" s="16">
        <v>1</v>
      </c>
      <c r="Q10" s="16">
        <v>0</v>
      </c>
      <c r="R10" s="16">
        <v>33</v>
      </c>
      <c r="S10" s="16">
        <v>19</v>
      </c>
      <c r="T10" s="16">
        <v>3</v>
      </c>
      <c r="U10" s="16">
        <v>1</v>
      </c>
      <c r="V10" s="120">
        <v>51</v>
      </c>
    </row>
    <row r="11" spans="1:22" ht="15.75" customHeight="1">
      <c r="A11" s="130">
        <v>3</v>
      </c>
      <c r="B11" s="16" t="s">
        <v>191</v>
      </c>
      <c r="C11" s="16">
        <f t="shared" si="1"/>
        <v>138</v>
      </c>
      <c r="D11" s="16">
        <f t="shared" si="1"/>
        <v>3</v>
      </c>
      <c r="E11" s="16">
        <v>33</v>
      </c>
      <c r="F11" s="16">
        <v>1</v>
      </c>
      <c r="G11" s="16">
        <v>51</v>
      </c>
      <c r="H11" s="16">
        <v>1</v>
      </c>
      <c r="I11" s="16">
        <v>54</v>
      </c>
      <c r="J11" s="16">
        <v>1</v>
      </c>
      <c r="K11" s="16">
        <v>39</v>
      </c>
      <c r="L11" s="16">
        <v>39</v>
      </c>
      <c r="M11" s="16">
        <v>12</v>
      </c>
      <c r="N11" s="16">
        <v>17</v>
      </c>
      <c r="O11" s="16">
        <v>2</v>
      </c>
      <c r="P11" s="16">
        <v>1</v>
      </c>
      <c r="Q11" s="16">
        <v>0</v>
      </c>
      <c r="R11" s="16">
        <v>27</v>
      </c>
      <c r="S11" s="16">
        <v>10</v>
      </c>
      <c r="T11" s="16">
        <v>2</v>
      </c>
      <c r="U11" s="16">
        <v>0</v>
      </c>
      <c r="V11" s="120">
        <v>37</v>
      </c>
    </row>
    <row r="12" spans="1:22" ht="15.75" customHeight="1" thickBot="1">
      <c r="A12" s="131">
        <v>4</v>
      </c>
      <c r="B12" s="132" t="s">
        <v>192</v>
      </c>
      <c r="C12" s="132">
        <f t="shared" si="1"/>
        <v>289</v>
      </c>
      <c r="D12" s="132">
        <f t="shared" si="1"/>
        <v>6</v>
      </c>
      <c r="E12" s="132">
        <v>86</v>
      </c>
      <c r="F12" s="132">
        <v>2</v>
      </c>
      <c r="G12" s="132">
        <v>108</v>
      </c>
      <c r="H12" s="132">
        <v>2</v>
      </c>
      <c r="I12" s="132">
        <v>95</v>
      </c>
      <c r="J12" s="132">
        <v>2</v>
      </c>
      <c r="K12" s="132">
        <v>105</v>
      </c>
      <c r="L12" s="132">
        <v>243</v>
      </c>
      <c r="M12" s="132">
        <v>91</v>
      </c>
      <c r="N12" s="132">
        <v>18</v>
      </c>
      <c r="O12" s="132">
        <v>7</v>
      </c>
      <c r="P12" s="132">
        <v>1</v>
      </c>
      <c r="Q12" s="132">
        <v>0</v>
      </c>
      <c r="R12" s="132">
        <v>29</v>
      </c>
      <c r="S12" s="132">
        <v>17</v>
      </c>
      <c r="T12" s="132">
        <v>3</v>
      </c>
      <c r="U12" s="132">
        <v>1</v>
      </c>
      <c r="V12" s="133">
        <v>38</v>
      </c>
    </row>
    <row r="13" spans="1:22" ht="15.75" customHeight="1">
      <c r="A13" s="198" t="s">
        <v>134</v>
      </c>
      <c r="B13" s="199" t="s">
        <v>193</v>
      </c>
      <c r="C13" s="481" t="s">
        <v>11</v>
      </c>
      <c r="D13" s="481"/>
      <c r="E13" s="481" t="s">
        <v>223</v>
      </c>
      <c r="F13" s="481"/>
      <c r="G13" s="481" t="s">
        <v>224</v>
      </c>
      <c r="H13" s="486"/>
      <c r="L13" s="489" t="s">
        <v>251</v>
      </c>
      <c r="M13" s="490"/>
      <c r="N13" s="484" t="s">
        <v>188</v>
      </c>
      <c r="O13" s="484"/>
      <c r="P13" s="484"/>
      <c r="Q13" s="484"/>
      <c r="R13" s="485" t="s">
        <v>186</v>
      </c>
      <c r="S13" s="485"/>
      <c r="T13" s="485" t="s">
        <v>187</v>
      </c>
      <c r="U13" s="485"/>
      <c r="V13" s="338" t="s">
        <v>201</v>
      </c>
    </row>
    <row r="14" spans="1:25" ht="15.75" customHeight="1">
      <c r="A14" s="130">
        <v>1</v>
      </c>
      <c r="B14" s="16" t="s">
        <v>189</v>
      </c>
      <c r="C14" s="98">
        <f aca="true" t="shared" si="2" ref="C14:D18">E14+G14</f>
        <v>0</v>
      </c>
      <c r="D14" s="116">
        <f t="shared" si="2"/>
        <v>0</v>
      </c>
      <c r="E14" s="98"/>
      <c r="F14" s="98"/>
      <c r="G14" s="98"/>
      <c r="H14" s="121"/>
      <c r="I14" s="109"/>
      <c r="J14" s="109"/>
      <c r="K14" s="126"/>
      <c r="L14" s="491"/>
      <c r="M14" s="492"/>
      <c r="N14" s="10"/>
      <c r="O14" s="10">
        <v>4</v>
      </c>
      <c r="P14" s="10"/>
      <c r="Q14" s="10">
        <v>1</v>
      </c>
      <c r="R14" s="10">
        <v>10</v>
      </c>
      <c r="S14" s="196">
        <f>R14/($R14+$V14)</f>
        <v>1</v>
      </c>
      <c r="T14" s="10">
        <v>2</v>
      </c>
      <c r="U14" s="191">
        <f>T14/($R14+$V14)</f>
        <v>0.2</v>
      </c>
      <c r="V14" s="123">
        <v>0</v>
      </c>
      <c r="W14" s="18"/>
      <c r="X14" s="18"/>
      <c r="Y14" s="18"/>
    </row>
    <row r="15" spans="1:25" ht="15.75" customHeight="1">
      <c r="A15" s="130">
        <v>2</v>
      </c>
      <c r="B15" s="16" t="s">
        <v>190</v>
      </c>
      <c r="C15" s="98">
        <f t="shared" si="2"/>
        <v>0</v>
      </c>
      <c r="D15" s="116">
        <f t="shared" si="2"/>
        <v>6488</v>
      </c>
      <c r="E15" s="98"/>
      <c r="F15" s="98">
        <v>2780</v>
      </c>
      <c r="G15" s="98"/>
      <c r="H15" s="121">
        <v>3708</v>
      </c>
      <c r="I15" s="109"/>
      <c r="J15" s="109"/>
      <c r="K15" s="126"/>
      <c r="L15" s="491"/>
      <c r="M15" s="492"/>
      <c r="N15" s="12">
        <v>10</v>
      </c>
      <c r="O15" s="12">
        <v>4</v>
      </c>
      <c r="P15" s="12"/>
      <c r="Q15" s="12">
        <v>1</v>
      </c>
      <c r="R15" s="12">
        <v>27</v>
      </c>
      <c r="S15" s="191">
        <f>25/37</f>
        <v>0.6756756756756757</v>
      </c>
      <c r="T15" s="12">
        <v>1</v>
      </c>
      <c r="U15" s="191">
        <f>T15/36</f>
        <v>0.027777777777777776</v>
      </c>
      <c r="V15" s="190">
        <v>8</v>
      </c>
      <c r="W15" s="3"/>
      <c r="X15" s="3"/>
      <c r="Y15" s="3"/>
    </row>
    <row r="16" spans="1:25" ht="15.75" customHeight="1">
      <c r="A16" s="130">
        <v>3</v>
      </c>
      <c r="B16" s="16" t="s">
        <v>191</v>
      </c>
      <c r="C16" s="98">
        <f t="shared" si="2"/>
        <v>0</v>
      </c>
      <c r="D16" s="116">
        <f t="shared" si="2"/>
        <v>2122</v>
      </c>
      <c r="E16" s="98"/>
      <c r="F16" s="98">
        <v>1168</v>
      </c>
      <c r="G16" s="98"/>
      <c r="H16" s="121">
        <v>954</v>
      </c>
      <c r="I16" s="109"/>
      <c r="J16" s="109"/>
      <c r="K16" s="126"/>
      <c r="L16" s="491"/>
      <c r="M16" s="492"/>
      <c r="N16" s="12"/>
      <c r="O16" s="12">
        <v>4</v>
      </c>
      <c r="P16" s="12">
        <v>1</v>
      </c>
      <c r="Q16" s="12">
        <v>1</v>
      </c>
      <c r="R16" s="12">
        <v>21</v>
      </c>
      <c r="S16" s="192">
        <f>R16/($R16+$V16)</f>
        <v>0.7777777777777778</v>
      </c>
      <c r="T16" s="12">
        <v>1</v>
      </c>
      <c r="U16" s="191">
        <f>T16/($R16+$V16)</f>
        <v>0.037037037037037035</v>
      </c>
      <c r="V16" s="190">
        <v>6</v>
      </c>
      <c r="W16" s="3"/>
      <c r="X16" s="3"/>
      <c r="Y16" s="3"/>
    </row>
    <row r="17" spans="1:25" ht="15.75" customHeight="1">
      <c r="A17" s="130">
        <v>4</v>
      </c>
      <c r="B17" s="16" t="s">
        <v>192</v>
      </c>
      <c r="C17" s="98">
        <f t="shared" si="2"/>
        <v>0</v>
      </c>
      <c r="D17" s="116">
        <f t="shared" si="2"/>
        <v>2810</v>
      </c>
      <c r="E17" s="98"/>
      <c r="F17" s="98">
        <v>1579</v>
      </c>
      <c r="G17" s="98"/>
      <c r="H17" s="121">
        <v>1231</v>
      </c>
      <c r="I17" s="109"/>
      <c r="J17" s="109"/>
      <c r="K17" s="126"/>
      <c r="L17" s="493"/>
      <c r="M17" s="494"/>
      <c r="N17" s="10"/>
      <c r="O17" s="10">
        <v>4</v>
      </c>
      <c r="P17" s="10">
        <v>1</v>
      </c>
      <c r="Q17" s="10">
        <v>1</v>
      </c>
      <c r="R17" s="10">
        <v>18</v>
      </c>
      <c r="S17" s="192">
        <f>R17/($R17+$V17)</f>
        <v>0.75</v>
      </c>
      <c r="T17" s="10">
        <v>1</v>
      </c>
      <c r="U17" s="191">
        <f>T17/($R17+$V17)</f>
        <v>0.041666666666666664</v>
      </c>
      <c r="V17" s="193">
        <v>6</v>
      </c>
      <c r="W17" s="20"/>
      <c r="X17" s="20"/>
      <c r="Y17" s="20"/>
    </row>
    <row r="18" spans="1:25" ht="15.75" customHeight="1" thickBot="1">
      <c r="A18" s="124"/>
      <c r="B18" s="29" t="s">
        <v>137</v>
      </c>
      <c r="C18" s="100">
        <f t="shared" si="2"/>
        <v>34327</v>
      </c>
      <c r="D18" s="100">
        <f t="shared" si="2"/>
        <v>11420</v>
      </c>
      <c r="E18" s="98">
        <f>THCS!K7+THCS!M7</f>
        <v>15844</v>
      </c>
      <c r="F18" s="98">
        <f>SUM(F14:F17)</f>
        <v>5527</v>
      </c>
      <c r="G18" s="98">
        <f>THPT!D7</f>
        <v>18483</v>
      </c>
      <c r="H18" s="121">
        <f>SUM(H14:H17)</f>
        <v>5893</v>
      </c>
      <c r="I18" s="109"/>
      <c r="J18" s="109"/>
      <c r="K18" s="126"/>
      <c r="L18" s="482" t="s">
        <v>137</v>
      </c>
      <c r="M18" s="483"/>
      <c r="N18" s="125">
        <f>SUM(N14:N17)</f>
        <v>10</v>
      </c>
      <c r="O18" s="125">
        <f>SUM(O14:O17)</f>
        <v>16</v>
      </c>
      <c r="P18" s="125">
        <f>SUM(P14:P17)</f>
        <v>2</v>
      </c>
      <c r="Q18" s="125">
        <f>SUM(Q14:Q17)</f>
        <v>4</v>
      </c>
      <c r="R18" s="125">
        <f>SUM(R14:R17)</f>
        <v>76</v>
      </c>
      <c r="S18" s="194">
        <f>R18/($R18+$V18)</f>
        <v>0.7916666666666666</v>
      </c>
      <c r="T18" s="125">
        <f>SUM(T14:T17)</f>
        <v>5</v>
      </c>
      <c r="U18" s="195">
        <f>T18/($R18+$V18)</f>
        <v>0.052083333333333336</v>
      </c>
      <c r="V18" s="171">
        <f>SUM(V14:V17)</f>
        <v>20</v>
      </c>
      <c r="W18" s="20"/>
      <c r="X18" s="20"/>
      <c r="Y18" s="20"/>
    </row>
    <row r="19" spans="1:25" ht="13.5" thickBot="1">
      <c r="A19" s="178"/>
      <c r="B19" s="132"/>
      <c r="C19" s="125" t="s">
        <v>226</v>
      </c>
      <c r="D19" s="125" t="s">
        <v>227</v>
      </c>
      <c r="E19" s="125" t="s">
        <v>226</v>
      </c>
      <c r="F19" s="125" t="s">
        <v>227</v>
      </c>
      <c r="G19" s="125" t="s">
        <v>226</v>
      </c>
      <c r="H19" s="171" t="s">
        <v>227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2.75">
      <c r="A20" s="177" t="s">
        <v>228</v>
      </c>
      <c r="B20" s="177" t="s">
        <v>229</v>
      </c>
      <c r="C20" s="182"/>
      <c r="D20" s="182"/>
      <c r="E20" s="182"/>
      <c r="F20" s="182"/>
      <c r="G20" s="182"/>
      <c r="H20" s="182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24.75" customHeight="1">
      <c r="A21" s="421" t="s">
        <v>0</v>
      </c>
      <c r="B21" s="421" t="s">
        <v>248</v>
      </c>
      <c r="C21" s="401" t="s">
        <v>246</v>
      </c>
      <c r="D21" s="401"/>
      <c r="E21" s="401" t="s">
        <v>218</v>
      </c>
      <c r="F21" s="401"/>
      <c r="G21" s="401"/>
      <c r="H21" s="401"/>
      <c r="I21" s="480" t="s">
        <v>247</v>
      </c>
      <c r="J21" s="422" t="s">
        <v>164</v>
      </c>
      <c r="K21" s="422" t="s">
        <v>249</v>
      </c>
      <c r="L21" s="422" t="s">
        <v>165</v>
      </c>
      <c r="M21" s="422" t="s">
        <v>250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3.5" customHeight="1">
      <c r="A22" s="404"/>
      <c r="B22" s="404"/>
      <c r="C22" s="12" t="s">
        <v>194</v>
      </c>
      <c r="D22" s="12" t="s">
        <v>20</v>
      </c>
      <c r="E22" s="12" t="s">
        <v>158</v>
      </c>
      <c r="F22" s="12" t="s">
        <v>157</v>
      </c>
      <c r="G22" s="12" t="s">
        <v>245</v>
      </c>
      <c r="H22" s="12" t="s">
        <v>244</v>
      </c>
      <c r="I22" s="480"/>
      <c r="J22" s="422"/>
      <c r="K22" s="422"/>
      <c r="L22" s="422"/>
      <c r="M22" s="422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16">
        <v>1</v>
      </c>
      <c r="B23" s="16" t="s">
        <v>240</v>
      </c>
      <c r="C23" s="183">
        <v>443</v>
      </c>
      <c r="D23" s="183">
        <v>11</v>
      </c>
      <c r="E23" s="10">
        <v>64</v>
      </c>
      <c r="F23" s="10">
        <f>E23/2</f>
        <v>32</v>
      </c>
      <c r="G23" s="10">
        <v>64</v>
      </c>
      <c r="H23" s="10">
        <v>23</v>
      </c>
      <c r="I23" s="16">
        <v>84</v>
      </c>
      <c r="J23" s="16">
        <v>30</v>
      </c>
      <c r="K23" s="16">
        <v>56</v>
      </c>
      <c r="L23" s="16">
        <v>3</v>
      </c>
      <c r="M23" s="184">
        <v>6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>
      <c r="A24" s="16">
        <v>2</v>
      </c>
      <c r="B24" s="16" t="s">
        <v>243</v>
      </c>
      <c r="C24" s="183">
        <v>742</v>
      </c>
      <c r="D24" s="183">
        <v>12</v>
      </c>
      <c r="E24" s="186"/>
      <c r="F24" s="187"/>
      <c r="G24" s="187"/>
      <c r="H24" s="187"/>
      <c r="I24" s="101"/>
      <c r="J24" s="101"/>
      <c r="K24" s="101"/>
      <c r="L24" s="101"/>
      <c r="M24" s="188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2.75">
      <c r="A25" s="16">
        <v>3</v>
      </c>
      <c r="B25" s="16" t="s">
        <v>241</v>
      </c>
      <c r="C25" s="183">
        <v>50</v>
      </c>
      <c r="D25" s="183">
        <v>1</v>
      </c>
      <c r="E25" s="189"/>
      <c r="F25" s="113"/>
      <c r="G25" s="113"/>
      <c r="H25" s="113"/>
      <c r="I25" s="109"/>
      <c r="J25" s="109"/>
      <c r="K25" s="109"/>
      <c r="L25" s="109"/>
      <c r="M25" s="18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2.75">
      <c r="A26" s="16">
        <v>4</v>
      </c>
      <c r="B26" s="16" t="s">
        <v>242</v>
      </c>
      <c r="C26" s="183">
        <v>100</v>
      </c>
      <c r="D26" s="183">
        <v>2</v>
      </c>
      <c r="E26" s="189"/>
      <c r="F26" s="113"/>
      <c r="G26" s="113"/>
      <c r="H26" s="113"/>
      <c r="I26" s="109"/>
      <c r="J26" s="109"/>
      <c r="K26" s="109"/>
      <c r="L26" s="109"/>
      <c r="M26" s="181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2.75" hidden="1">
      <c r="A27" s="340"/>
      <c r="B27" s="340"/>
      <c r="C27" s="341">
        <f>SUM(C23:C26)</f>
        <v>1335</v>
      </c>
      <c r="D27" s="341">
        <f>SUM(D23:D26)</f>
        <v>26</v>
      </c>
      <c r="E27" s="189"/>
      <c r="F27" s="113"/>
      <c r="G27" s="113"/>
      <c r="H27" s="113"/>
      <c r="I27" s="109"/>
      <c r="J27" s="109"/>
      <c r="K27" s="109"/>
      <c r="L27" s="109"/>
      <c r="M27" s="181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2.75" hidden="1">
      <c r="A28" s="478"/>
      <c r="B28" s="478"/>
      <c r="C28" s="185" t="s">
        <v>261</v>
      </c>
      <c r="D28" s="185" t="s">
        <v>157</v>
      </c>
      <c r="E28" s="10" t="s">
        <v>273</v>
      </c>
      <c r="F28" s="113"/>
      <c r="G28" s="113"/>
      <c r="H28" s="113"/>
      <c r="I28" s="109"/>
      <c r="J28" s="109"/>
      <c r="K28" s="109"/>
      <c r="L28" s="109"/>
      <c r="M28" s="181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2.75" hidden="1">
      <c r="A29" s="479"/>
      <c r="B29" s="479"/>
      <c r="C29" s="185">
        <v>306</v>
      </c>
      <c r="D29" s="185">
        <v>267</v>
      </c>
      <c r="E29" s="10" t="s">
        <v>274</v>
      </c>
      <c r="F29" s="113"/>
      <c r="G29" s="113"/>
      <c r="H29" s="113"/>
      <c r="I29" s="109"/>
      <c r="J29" s="109"/>
      <c r="K29" s="109"/>
      <c r="L29" s="109"/>
      <c r="M29" s="181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2.75" hidden="1">
      <c r="A30" s="16">
        <v>1</v>
      </c>
      <c r="B30" s="16" t="s">
        <v>262</v>
      </c>
      <c r="C30" s="185">
        <v>43</v>
      </c>
      <c r="D30" s="185">
        <v>43</v>
      </c>
      <c r="E30" s="10"/>
      <c r="F30" s="113"/>
      <c r="G30" s="113"/>
      <c r="H30" s="113"/>
      <c r="I30" s="109"/>
      <c r="J30" s="109"/>
      <c r="K30" s="109"/>
      <c r="L30" s="109"/>
      <c r="M30" s="181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2.75" hidden="1">
      <c r="A31" s="16">
        <v>2</v>
      </c>
      <c r="B31" s="16" t="s">
        <v>263</v>
      </c>
      <c r="C31" s="185">
        <v>46</v>
      </c>
      <c r="D31" s="185">
        <v>41</v>
      </c>
      <c r="E31" s="10"/>
      <c r="F31" s="113"/>
      <c r="G31" s="113"/>
      <c r="H31" s="113"/>
      <c r="I31" s="109"/>
      <c r="J31" s="109"/>
      <c r="K31" s="109"/>
      <c r="L31" s="109"/>
      <c r="M31" s="181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2.75" hidden="1">
      <c r="A32" s="16">
        <v>3</v>
      </c>
      <c r="B32" s="16" t="s">
        <v>264</v>
      </c>
      <c r="C32" s="185">
        <v>48</v>
      </c>
      <c r="D32" s="185">
        <v>44</v>
      </c>
      <c r="E32" s="10"/>
      <c r="F32" s="113"/>
      <c r="G32" s="113"/>
      <c r="H32" s="113"/>
      <c r="I32" s="109"/>
      <c r="J32" s="109"/>
      <c r="K32" s="109"/>
      <c r="L32" s="109"/>
      <c r="M32" s="181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12.75" hidden="1">
      <c r="A33" s="16">
        <v>4</v>
      </c>
      <c r="B33" s="16" t="s">
        <v>265</v>
      </c>
      <c r="C33" s="185">
        <v>41</v>
      </c>
      <c r="D33" s="185">
        <v>30</v>
      </c>
      <c r="E33" s="10"/>
      <c r="F33" s="113"/>
      <c r="G33" s="113"/>
      <c r="H33" s="113"/>
      <c r="I33" s="109"/>
      <c r="J33" s="109"/>
      <c r="K33" s="109"/>
      <c r="L33" s="109"/>
      <c r="M33" s="181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2.75" hidden="1">
      <c r="A34" s="16">
        <v>5</v>
      </c>
      <c r="B34" s="16" t="s">
        <v>266</v>
      </c>
      <c r="C34" s="185">
        <v>42</v>
      </c>
      <c r="D34" s="185">
        <v>42</v>
      </c>
      <c r="E34" s="10"/>
      <c r="F34" s="113"/>
      <c r="G34" s="113"/>
      <c r="H34" s="113"/>
      <c r="I34" s="109"/>
      <c r="J34" s="109"/>
      <c r="K34" s="109"/>
      <c r="L34" s="109"/>
      <c r="M34" s="181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2.75" hidden="1">
      <c r="A35" s="16">
        <v>6</v>
      </c>
      <c r="B35" s="16" t="s">
        <v>267</v>
      </c>
      <c r="C35" s="185">
        <v>53</v>
      </c>
      <c r="D35" s="185">
        <v>47</v>
      </c>
      <c r="E35" s="10"/>
      <c r="F35" s="113"/>
      <c r="G35" s="113"/>
      <c r="H35" s="113"/>
      <c r="I35" s="109"/>
      <c r="J35" s="109"/>
      <c r="K35" s="109"/>
      <c r="L35" s="109"/>
      <c r="M35" s="181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2.75" hidden="1">
      <c r="A36" s="16">
        <v>7</v>
      </c>
      <c r="B36" s="16" t="s">
        <v>268</v>
      </c>
      <c r="C36" s="185">
        <v>33</v>
      </c>
      <c r="D36" s="185">
        <v>20</v>
      </c>
      <c r="E36" s="10"/>
      <c r="F36" s="113"/>
      <c r="G36" s="113"/>
      <c r="H36" s="113"/>
      <c r="I36" s="109"/>
      <c r="J36" s="109"/>
      <c r="K36" s="109"/>
      <c r="L36" s="109"/>
      <c r="M36" s="181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2.75" hidden="1">
      <c r="A37" s="16">
        <v>8</v>
      </c>
      <c r="B37" s="16" t="s">
        <v>269</v>
      </c>
      <c r="C37" s="185">
        <v>106</v>
      </c>
      <c r="D37" s="185">
        <v>106</v>
      </c>
      <c r="E37" s="10"/>
      <c r="F37" s="113"/>
      <c r="G37" s="113"/>
      <c r="H37" s="113"/>
      <c r="I37" s="109"/>
      <c r="J37" s="109"/>
      <c r="K37" s="109"/>
      <c r="L37" s="109"/>
      <c r="M37" s="181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2.75" hidden="1">
      <c r="A38" s="16">
        <v>9</v>
      </c>
      <c r="B38" s="16" t="s">
        <v>270</v>
      </c>
      <c r="C38" s="185">
        <v>47</v>
      </c>
      <c r="D38" s="185">
        <v>43</v>
      </c>
      <c r="E38" s="10"/>
      <c r="F38" s="113"/>
      <c r="G38" s="113"/>
      <c r="H38" s="113"/>
      <c r="I38" s="109"/>
      <c r="J38" s="109"/>
      <c r="K38" s="109"/>
      <c r="L38" s="109"/>
      <c r="M38" s="181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2.75" hidden="1">
      <c r="A39" s="16">
        <v>10</v>
      </c>
      <c r="B39" s="16" t="s">
        <v>271</v>
      </c>
      <c r="C39" s="185">
        <v>62</v>
      </c>
      <c r="D39" s="185">
        <v>59</v>
      </c>
      <c r="E39" s="10"/>
      <c r="F39" s="113"/>
      <c r="G39" s="113"/>
      <c r="H39" s="113"/>
      <c r="I39" s="109"/>
      <c r="J39" s="109"/>
      <c r="K39" s="109"/>
      <c r="L39" s="109"/>
      <c r="M39" s="181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2.75" hidden="1">
      <c r="A40" s="16">
        <v>11</v>
      </c>
      <c r="B40" s="16" t="s">
        <v>272</v>
      </c>
      <c r="C40" s="185">
        <v>30</v>
      </c>
      <c r="D40" s="185">
        <v>26</v>
      </c>
      <c r="E40" s="10"/>
      <c r="F40" s="113"/>
      <c r="G40" s="113"/>
      <c r="H40" s="113"/>
      <c r="I40" s="109"/>
      <c r="J40" s="109"/>
      <c r="K40" s="109"/>
      <c r="L40" s="109"/>
      <c r="M40" s="18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2.75" hidden="1">
      <c r="A41" s="109"/>
      <c r="B41" s="109"/>
      <c r="C41" s="339"/>
      <c r="D41" s="339"/>
      <c r="E41" s="113"/>
      <c r="F41" s="113"/>
      <c r="G41" s="113"/>
      <c r="H41" s="113"/>
      <c r="I41" s="109"/>
      <c r="J41" s="109"/>
      <c r="K41" s="109"/>
      <c r="L41" s="109"/>
      <c r="M41" s="181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2.75" hidden="1">
      <c r="A42" s="109"/>
      <c r="B42" s="109"/>
      <c r="C42" s="339"/>
      <c r="D42" s="339"/>
      <c r="E42" s="113"/>
      <c r="F42" s="113"/>
      <c r="G42" s="113"/>
      <c r="H42" s="113"/>
      <c r="I42" s="109"/>
      <c r="J42" s="109"/>
      <c r="K42" s="109"/>
      <c r="L42" s="109"/>
      <c r="M42" s="181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2.75" hidden="1">
      <c r="A43" s="109"/>
      <c r="B43" s="109"/>
      <c r="C43" s="339"/>
      <c r="D43" s="339"/>
      <c r="E43" s="113"/>
      <c r="F43" s="113"/>
      <c r="G43" s="113"/>
      <c r="H43" s="113"/>
      <c r="I43" s="109"/>
      <c r="J43" s="109"/>
      <c r="K43" s="109"/>
      <c r="L43" s="109"/>
      <c r="M43" s="181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2.75">
      <c r="A44" s="177" t="s">
        <v>252</v>
      </c>
      <c r="B44" s="177" t="s">
        <v>255</v>
      </c>
      <c r="C44" s="113"/>
      <c r="D44" s="113"/>
      <c r="E44" s="113"/>
      <c r="F44" s="113"/>
      <c r="G44" s="113"/>
      <c r="H44" s="113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2.75">
      <c r="A45" s="109"/>
      <c r="B45" s="109"/>
      <c r="C45" s="113"/>
      <c r="D45" s="113"/>
      <c r="E45" s="113"/>
      <c r="F45" s="113"/>
      <c r="G45" s="113"/>
      <c r="H45" s="113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2.75">
      <c r="A46" s="177" t="s">
        <v>253</v>
      </c>
      <c r="B46" s="177" t="s">
        <v>230</v>
      </c>
      <c r="C46" s="113"/>
      <c r="D46" s="113"/>
      <c r="E46" s="113"/>
      <c r="F46" s="113"/>
      <c r="G46" s="113"/>
      <c r="H46" s="113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2.75">
      <c r="A47" s="16" t="s">
        <v>0</v>
      </c>
      <c r="B47" s="16" t="s">
        <v>238</v>
      </c>
      <c r="C47" s="10" t="s">
        <v>239</v>
      </c>
      <c r="D47" s="10">
        <v>2010</v>
      </c>
      <c r="E47" s="10">
        <v>2011</v>
      </c>
      <c r="F47" s="10">
        <v>2012</v>
      </c>
      <c r="G47" s="113"/>
      <c r="H47" s="113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2.75">
      <c r="A48" s="16"/>
      <c r="B48" s="16" t="s">
        <v>232</v>
      </c>
      <c r="C48" s="10">
        <v>16</v>
      </c>
      <c r="D48" s="10" t="s">
        <v>136</v>
      </c>
      <c r="E48" s="10"/>
      <c r="F48" s="10"/>
      <c r="G48" s="113"/>
      <c r="H48" s="113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2.75">
      <c r="A49" s="16"/>
      <c r="B49" s="16" t="s">
        <v>233</v>
      </c>
      <c r="C49" s="10">
        <v>50</v>
      </c>
      <c r="D49" s="10"/>
      <c r="E49" s="10" t="s">
        <v>136</v>
      </c>
      <c r="F49" s="10"/>
      <c r="G49" s="113"/>
      <c r="H49" s="113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2.75">
      <c r="A50" s="16"/>
      <c r="B50" s="16" t="s">
        <v>234</v>
      </c>
      <c r="C50" s="10">
        <v>50</v>
      </c>
      <c r="D50" s="10"/>
      <c r="E50" s="10" t="s">
        <v>136</v>
      </c>
      <c r="F50" s="10"/>
      <c r="G50" s="113"/>
      <c r="H50" s="113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12.75">
      <c r="A51" s="16"/>
      <c r="B51" s="16" t="s">
        <v>232</v>
      </c>
      <c r="C51" s="10">
        <v>50</v>
      </c>
      <c r="D51" s="10"/>
      <c r="E51" s="10" t="s">
        <v>136</v>
      </c>
      <c r="F51" s="10"/>
      <c r="G51" s="113"/>
      <c r="H51" s="113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2.75">
      <c r="A52" s="16"/>
      <c r="B52" s="16" t="s">
        <v>235</v>
      </c>
      <c r="C52" s="10">
        <v>50</v>
      </c>
      <c r="D52" s="10"/>
      <c r="E52" s="10" t="s">
        <v>136</v>
      </c>
      <c r="F52" s="10"/>
      <c r="G52" s="113"/>
      <c r="H52" s="113"/>
      <c r="M52" s="20"/>
      <c r="N52" s="20"/>
      <c r="O52" s="20"/>
      <c r="P52" s="20"/>
      <c r="Q52" s="20"/>
      <c r="R52" s="20"/>
      <c r="S52" s="18" t="s">
        <v>260</v>
      </c>
      <c r="T52" s="20"/>
      <c r="U52" s="20"/>
      <c r="V52" s="20"/>
      <c r="W52" s="20"/>
      <c r="X52" s="20"/>
      <c r="Y52" s="20"/>
    </row>
    <row r="53" spans="1:25" ht="12.75">
      <c r="A53" s="16"/>
      <c r="B53" s="16" t="s">
        <v>236</v>
      </c>
      <c r="C53" s="10">
        <v>50</v>
      </c>
      <c r="D53" s="10"/>
      <c r="E53" s="10" t="s">
        <v>136</v>
      </c>
      <c r="F53" s="10"/>
      <c r="G53" s="113"/>
      <c r="H53" s="113"/>
      <c r="M53" s="20"/>
      <c r="N53" s="20"/>
      <c r="O53" s="20"/>
      <c r="P53" s="20"/>
      <c r="Q53" s="20"/>
      <c r="R53" s="20"/>
      <c r="S53" s="3" t="s">
        <v>66</v>
      </c>
      <c r="T53" s="20"/>
      <c r="U53" s="20"/>
      <c r="V53" s="20"/>
      <c r="W53" s="20"/>
      <c r="X53" s="20"/>
      <c r="Y53" s="20"/>
    </row>
    <row r="54" spans="1:25" ht="12.75">
      <c r="A54" s="16"/>
      <c r="B54" s="16" t="s">
        <v>237</v>
      </c>
      <c r="C54" s="10">
        <v>50</v>
      </c>
      <c r="D54" s="10"/>
      <c r="E54" s="10" t="s">
        <v>136</v>
      </c>
      <c r="F54" s="10"/>
      <c r="G54" s="113"/>
      <c r="H54" s="113"/>
      <c r="M54" s="20"/>
      <c r="N54" s="20"/>
      <c r="O54" s="20"/>
      <c r="P54" s="20"/>
      <c r="Q54" s="20"/>
      <c r="R54" s="20"/>
      <c r="S54" s="3" t="s">
        <v>67</v>
      </c>
      <c r="T54" s="20"/>
      <c r="U54" s="20"/>
      <c r="V54" s="20"/>
      <c r="W54" s="20"/>
      <c r="X54" s="20"/>
      <c r="Y54" s="20"/>
    </row>
    <row r="55" spans="2:19" ht="12.75">
      <c r="B55" s="27" t="s">
        <v>85</v>
      </c>
      <c r="S55" s="20"/>
    </row>
    <row r="56" ht="12.75">
      <c r="S56" s="20"/>
    </row>
    <row r="57" ht="12.75">
      <c r="S57" s="20"/>
    </row>
    <row r="59" ht="15.75">
      <c r="S59" s="17" t="s">
        <v>84</v>
      </c>
    </row>
    <row r="60" ht="12.75">
      <c r="B60" s="18" t="s">
        <v>86</v>
      </c>
    </row>
  </sheetData>
  <mergeCells count="38">
    <mergeCell ref="A2:D2"/>
    <mergeCell ref="A5:A7"/>
    <mergeCell ref="B5:B7"/>
    <mergeCell ref="C5:D6"/>
    <mergeCell ref="A1:D1"/>
    <mergeCell ref="T5:U5"/>
    <mergeCell ref="V5:V7"/>
    <mergeCell ref="S6:S7"/>
    <mergeCell ref="T6:T7"/>
    <mergeCell ref="U6:U7"/>
    <mergeCell ref="R6:R7"/>
    <mergeCell ref="N5:Q6"/>
    <mergeCell ref="E5:J5"/>
    <mergeCell ref="E6:F6"/>
    <mergeCell ref="T13:U13"/>
    <mergeCell ref="E13:F13"/>
    <mergeCell ref="G13:H13"/>
    <mergeCell ref="R5:S5"/>
    <mergeCell ref="G6:H6"/>
    <mergeCell ref="I6:J6"/>
    <mergeCell ref="K5:K7"/>
    <mergeCell ref="L5:M6"/>
    <mergeCell ref="L13:M17"/>
    <mergeCell ref="C13:D13"/>
    <mergeCell ref="L18:M18"/>
    <mergeCell ref="N13:Q13"/>
    <mergeCell ref="R13:S13"/>
    <mergeCell ref="M21:M22"/>
    <mergeCell ref="A21:A22"/>
    <mergeCell ref="B21:B22"/>
    <mergeCell ref="E21:H21"/>
    <mergeCell ref="C21:D21"/>
    <mergeCell ref="I21:I22"/>
    <mergeCell ref="J21:J22"/>
    <mergeCell ref="B28:B29"/>
    <mergeCell ref="A28:A29"/>
    <mergeCell ref="K21:K22"/>
    <mergeCell ref="L21:L2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scale="8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D7" sqref="D7"/>
    </sheetView>
  </sheetViews>
  <sheetFormatPr defaultColWidth="8.88671875" defaultRowHeight="18.75"/>
  <cols>
    <col min="1" max="1" width="4.10546875" style="0" customWidth="1"/>
    <col min="2" max="2" width="29.3359375" style="0" customWidth="1"/>
    <col min="4" max="4" width="8.5546875" style="0" customWidth="1"/>
    <col min="5" max="6" width="7.99609375" style="0" customWidth="1"/>
    <col min="7" max="8" width="7.6640625" style="0" customWidth="1"/>
    <col min="9" max="9" width="7.10546875" style="0" customWidth="1"/>
    <col min="10" max="10" width="6.5546875" style="0" customWidth="1"/>
    <col min="11" max="11" width="7.5546875" style="0" customWidth="1"/>
  </cols>
  <sheetData>
    <row r="1" s="31" customFormat="1" ht="15.75">
      <c r="A1" s="66" t="s">
        <v>150</v>
      </c>
    </row>
    <row r="2" spans="1:11" s="34" customFormat="1" ht="41.25" customHeight="1">
      <c r="A2" s="32" t="s">
        <v>0</v>
      </c>
      <c r="B2" s="32" t="s">
        <v>69</v>
      </c>
      <c r="C2" s="33" t="s">
        <v>151</v>
      </c>
      <c r="D2" s="33" t="s">
        <v>152</v>
      </c>
      <c r="E2" s="33" t="s">
        <v>70</v>
      </c>
      <c r="F2" s="509" t="s">
        <v>110</v>
      </c>
      <c r="G2" s="510"/>
      <c r="H2" s="510"/>
      <c r="I2" s="510"/>
      <c r="J2" s="510"/>
      <c r="K2" s="510"/>
    </row>
    <row r="3" spans="1:11" s="31" customFormat="1" ht="15.75">
      <c r="A3" s="56">
        <v>1</v>
      </c>
      <c r="B3" s="35" t="s">
        <v>71</v>
      </c>
      <c r="C3" s="41">
        <f>C4+C7+C13+C16</f>
        <v>158000</v>
      </c>
      <c r="D3" s="41">
        <f>D4+D7+D16</f>
        <v>134627</v>
      </c>
      <c r="E3" s="44">
        <f aca="true" t="shared" si="0" ref="E3:E16">D3/C3</f>
        <v>0.8520696202531646</v>
      </c>
      <c r="F3" s="511"/>
      <c r="G3" s="510"/>
      <c r="H3" s="510"/>
      <c r="I3" s="510"/>
      <c r="J3" s="510"/>
      <c r="K3" s="510"/>
    </row>
    <row r="4" spans="1:11" s="31" customFormat="1" ht="15.75">
      <c r="A4" s="56">
        <v>2</v>
      </c>
      <c r="B4" s="35" t="s">
        <v>72</v>
      </c>
      <c r="C4" s="40">
        <f>C5+C6</f>
        <v>19000</v>
      </c>
      <c r="D4" s="40">
        <f>D5+D6</f>
        <v>20668</v>
      </c>
      <c r="E4" s="44">
        <f t="shared" si="0"/>
        <v>1.0877894736842104</v>
      </c>
      <c r="F4" s="511"/>
      <c r="G4" s="510"/>
      <c r="H4" s="510"/>
      <c r="I4" s="510"/>
      <c r="J4" s="510"/>
      <c r="K4" s="510"/>
    </row>
    <row r="5" spans="1:11" s="31" customFormat="1" ht="15.75">
      <c r="A5" s="56">
        <v>3</v>
      </c>
      <c r="B5" s="37" t="s">
        <v>73</v>
      </c>
      <c r="C5" s="106">
        <v>2500</v>
      </c>
      <c r="D5" s="38">
        <f>MG!F10</f>
        <v>3387</v>
      </c>
      <c r="E5" s="44">
        <f t="shared" si="0"/>
        <v>1.3548</v>
      </c>
      <c r="F5" s="511"/>
      <c r="G5" s="510"/>
      <c r="H5" s="510"/>
      <c r="I5" s="510"/>
      <c r="J5" s="510"/>
      <c r="K5" s="510"/>
    </row>
    <row r="6" spans="1:11" s="31" customFormat="1" ht="15.75">
      <c r="A6" s="56">
        <v>5</v>
      </c>
      <c r="B6" s="37" t="s">
        <v>74</v>
      </c>
      <c r="C6" s="106">
        <v>16500</v>
      </c>
      <c r="D6" s="38">
        <f>MG!R10</f>
        <v>17281</v>
      </c>
      <c r="E6" s="44">
        <f t="shared" si="0"/>
        <v>1.0473333333333332</v>
      </c>
      <c r="F6" s="511"/>
      <c r="G6" s="510"/>
      <c r="H6" s="510"/>
      <c r="I6" s="510"/>
      <c r="J6" s="510"/>
      <c r="K6" s="510"/>
    </row>
    <row r="7" spans="1:11" s="31" customFormat="1" ht="15.75">
      <c r="A7" s="56">
        <v>7</v>
      </c>
      <c r="B7" s="35" t="s">
        <v>75</v>
      </c>
      <c r="C7" s="40">
        <f>C8+C9+C13+C16</f>
        <v>116300</v>
      </c>
      <c r="D7" s="40">
        <f>D8+D9+D13</f>
        <v>111777</v>
      </c>
      <c r="E7" s="44">
        <f t="shared" si="0"/>
        <v>0.9611092003439381</v>
      </c>
      <c r="F7" s="511"/>
      <c r="G7" s="510"/>
      <c r="H7" s="510"/>
      <c r="I7" s="510"/>
      <c r="J7" s="510"/>
      <c r="K7" s="510"/>
    </row>
    <row r="8" spans="1:11" s="31" customFormat="1" ht="15.75">
      <c r="A8" s="56">
        <v>8</v>
      </c>
      <c r="B8" s="37" t="s">
        <v>76</v>
      </c>
      <c r="C8" s="106">
        <v>56600</v>
      </c>
      <c r="D8" s="38">
        <f>TH!E7</f>
        <v>56905</v>
      </c>
      <c r="E8" s="44">
        <f t="shared" si="0"/>
        <v>1.0053886925795052</v>
      </c>
      <c r="F8" s="511"/>
      <c r="G8" s="510"/>
      <c r="H8" s="510"/>
      <c r="I8" s="510"/>
      <c r="J8" s="510"/>
      <c r="K8" s="510"/>
    </row>
    <row r="9" spans="1:11" s="31" customFormat="1" ht="15.75">
      <c r="A9" s="56">
        <v>9</v>
      </c>
      <c r="B9" s="37" t="s">
        <v>77</v>
      </c>
      <c r="C9" s="106">
        <v>37000</v>
      </c>
      <c r="D9" s="38">
        <f>THCS!E7</f>
        <v>36389</v>
      </c>
      <c r="E9" s="44">
        <f t="shared" si="0"/>
        <v>0.9834864864864865</v>
      </c>
      <c r="F9" s="511"/>
      <c r="G9" s="510"/>
      <c r="H9" s="510"/>
      <c r="I9" s="510"/>
      <c r="J9" s="510"/>
      <c r="K9" s="510"/>
    </row>
    <row r="10" spans="1:11" s="31" customFormat="1" ht="15.75">
      <c r="A10" s="56">
        <v>10</v>
      </c>
      <c r="B10" s="39" t="s">
        <v>82</v>
      </c>
      <c r="C10" s="106">
        <v>300</v>
      </c>
      <c r="D10" s="38">
        <f>THCS!E19</f>
        <v>257</v>
      </c>
      <c r="E10" s="44">
        <f t="shared" si="0"/>
        <v>0.8566666666666667</v>
      </c>
      <c r="F10" s="511"/>
      <c r="G10" s="510"/>
      <c r="H10" s="510"/>
      <c r="I10" s="510"/>
      <c r="J10" s="510"/>
      <c r="K10" s="510"/>
    </row>
    <row r="11" spans="1:11" s="31" customFormat="1" ht="15.75">
      <c r="A11" s="56">
        <v>11</v>
      </c>
      <c r="B11" s="37" t="s">
        <v>78</v>
      </c>
      <c r="C11" s="106">
        <v>250</v>
      </c>
      <c r="D11" s="38">
        <f>THCS!E18</f>
        <v>229</v>
      </c>
      <c r="E11" s="44">
        <f t="shared" si="0"/>
        <v>0.916</v>
      </c>
      <c r="F11" s="511"/>
      <c r="G11" s="510"/>
      <c r="H11" s="510"/>
      <c r="I11" s="510"/>
      <c r="J11" s="510"/>
      <c r="K11" s="510"/>
    </row>
    <row r="12" spans="1:11" s="31" customFormat="1" ht="15.75">
      <c r="A12" s="56">
        <v>12</v>
      </c>
      <c r="B12" s="37" t="s">
        <v>79</v>
      </c>
      <c r="C12" s="106">
        <v>170</v>
      </c>
      <c r="D12" s="38">
        <f>THCS!E17</f>
        <v>175</v>
      </c>
      <c r="E12" s="44">
        <f t="shared" si="0"/>
        <v>1.0294117647058822</v>
      </c>
      <c r="F12" s="511"/>
      <c r="G12" s="510"/>
      <c r="H12" s="510"/>
      <c r="I12" s="510"/>
      <c r="J12" s="510"/>
      <c r="K12" s="510"/>
    </row>
    <row r="13" spans="1:11" s="31" customFormat="1" ht="15.75">
      <c r="A13" s="56">
        <v>13</v>
      </c>
      <c r="B13" s="37" t="s">
        <v>80</v>
      </c>
      <c r="C13" s="65">
        <v>19100</v>
      </c>
      <c r="D13" s="65">
        <f>THPT!D7</f>
        <v>18483</v>
      </c>
      <c r="E13" s="44">
        <f t="shared" si="0"/>
        <v>0.967696335078534</v>
      </c>
      <c r="F13" s="511"/>
      <c r="G13" s="510"/>
      <c r="H13" s="510"/>
      <c r="I13" s="510"/>
      <c r="J13" s="510"/>
      <c r="K13" s="510"/>
    </row>
    <row r="14" spans="1:11" s="31" customFormat="1" ht="15.75">
      <c r="A14" s="56">
        <v>14</v>
      </c>
      <c r="B14" s="39" t="s">
        <v>83</v>
      </c>
      <c r="C14" s="106">
        <v>300</v>
      </c>
      <c r="D14" s="75">
        <f>THPT!D13</f>
        <v>296</v>
      </c>
      <c r="E14" s="44">
        <f t="shared" si="0"/>
        <v>0.9866666666666667</v>
      </c>
      <c r="F14" s="511"/>
      <c r="G14" s="510"/>
      <c r="H14" s="510"/>
      <c r="I14" s="510"/>
      <c r="J14" s="510"/>
      <c r="K14" s="510"/>
    </row>
    <row r="15" spans="1:11" s="31" customFormat="1" ht="15.75">
      <c r="A15" s="56"/>
      <c r="B15" s="197" t="s">
        <v>254</v>
      </c>
      <c r="C15" s="106">
        <v>60</v>
      </c>
      <c r="D15" s="75">
        <v>58</v>
      </c>
      <c r="E15" s="44">
        <f t="shared" si="0"/>
        <v>0.9666666666666667</v>
      </c>
      <c r="F15" s="511"/>
      <c r="G15" s="510"/>
      <c r="H15" s="510"/>
      <c r="I15" s="510"/>
      <c r="J15" s="510"/>
      <c r="K15" s="510"/>
    </row>
    <row r="16" spans="1:11" s="31" customFormat="1" ht="15.75">
      <c r="A16" s="56">
        <v>15</v>
      </c>
      <c r="B16" s="35" t="s">
        <v>81</v>
      </c>
      <c r="C16" s="42">
        <v>3600</v>
      </c>
      <c r="D16" s="40">
        <f>'THPT GDTX'!C8</f>
        <v>2182</v>
      </c>
      <c r="E16" s="36">
        <f t="shared" si="0"/>
        <v>0.6061111111111112</v>
      </c>
      <c r="F16" s="511"/>
      <c r="G16" s="510"/>
      <c r="H16" s="510"/>
      <c r="I16" s="510"/>
      <c r="J16" s="510"/>
      <c r="K16" s="510"/>
    </row>
    <row r="17" spans="1:11" s="31" customFormat="1" ht="15.75">
      <c r="A17" s="67" t="s">
        <v>90</v>
      </c>
      <c r="B17" s="50"/>
      <c r="C17" s="50"/>
      <c r="D17" s="51"/>
      <c r="E17" s="51"/>
      <c r="F17" s="51"/>
      <c r="G17" s="52"/>
      <c r="H17" s="52"/>
      <c r="I17" s="52"/>
      <c r="J17" s="52"/>
      <c r="K17" s="53"/>
    </row>
    <row r="18" spans="1:11" s="54" customFormat="1" ht="31.5" customHeight="1">
      <c r="A18" s="512" t="s">
        <v>0</v>
      </c>
      <c r="B18" s="512" t="s">
        <v>98</v>
      </c>
      <c r="C18" s="514" t="s">
        <v>96</v>
      </c>
      <c r="D18" s="515"/>
      <c r="E18" s="516"/>
      <c r="F18" s="517" t="s">
        <v>144</v>
      </c>
      <c r="G18" s="518"/>
      <c r="H18" s="519"/>
      <c r="I18" s="508" t="s">
        <v>97</v>
      </c>
      <c r="J18" s="508"/>
      <c r="K18" s="508"/>
    </row>
    <row r="19" spans="1:11" s="54" customFormat="1" ht="15.75">
      <c r="A19" s="513"/>
      <c r="B19" s="513"/>
      <c r="C19" s="68" t="s">
        <v>99</v>
      </c>
      <c r="D19" s="68" t="s">
        <v>20</v>
      </c>
      <c r="E19" s="68" t="s">
        <v>100</v>
      </c>
      <c r="F19" s="69" t="s">
        <v>99</v>
      </c>
      <c r="G19" s="69" t="s">
        <v>20</v>
      </c>
      <c r="H19" s="70" t="s">
        <v>100</v>
      </c>
      <c r="I19" s="69" t="s">
        <v>99</v>
      </c>
      <c r="J19" s="71" t="s">
        <v>20</v>
      </c>
      <c r="K19" s="72" t="s">
        <v>100</v>
      </c>
    </row>
    <row r="20" spans="1:11" s="31" customFormat="1" ht="15.75">
      <c r="A20" s="61">
        <v>1</v>
      </c>
      <c r="B20" s="60" t="s">
        <v>91</v>
      </c>
      <c r="C20" s="74">
        <v>89</v>
      </c>
      <c r="D20" s="73">
        <v>725</v>
      </c>
      <c r="E20" s="73">
        <v>18571</v>
      </c>
      <c r="F20" s="102">
        <v>89</v>
      </c>
      <c r="G20" s="103">
        <f>MG!E10+MG!Q10</f>
        <v>824</v>
      </c>
      <c r="H20" s="103">
        <f>MG!F10+MG!R10</f>
        <v>20668</v>
      </c>
      <c r="I20" s="76">
        <f>F20-C20</f>
        <v>0</v>
      </c>
      <c r="J20" s="76">
        <f>G20-D20</f>
        <v>99</v>
      </c>
      <c r="K20" s="76">
        <f>H20-E20</f>
        <v>2097</v>
      </c>
    </row>
    <row r="21" spans="1:11" s="31" customFormat="1" ht="15.75">
      <c r="A21" s="61">
        <v>2</v>
      </c>
      <c r="B21" s="60" t="s">
        <v>92</v>
      </c>
      <c r="C21" s="73">
        <f aca="true" t="shared" si="1" ref="C21:J21">SUM(C22:C24)</f>
        <v>228</v>
      </c>
      <c r="D21" s="73">
        <f t="shared" si="1"/>
        <v>3831</v>
      </c>
      <c r="E21" s="73">
        <f t="shared" si="1"/>
        <v>113370</v>
      </c>
      <c r="F21" s="103">
        <f t="shared" si="1"/>
        <v>230</v>
      </c>
      <c r="G21" s="103">
        <f t="shared" si="1"/>
        <v>3868</v>
      </c>
      <c r="H21" s="103">
        <f t="shared" si="1"/>
        <v>111777</v>
      </c>
      <c r="I21" s="76">
        <f t="shared" si="1"/>
        <v>2</v>
      </c>
      <c r="J21" s="76">
        <f t="shared" si="1"/>
        <v>37</v>
      </c>
      <c r="K21" s="76">
        <f>H21-E21</f>
        <v>-1593</v>
      </c>
    </row>
    <row r="22" spans="1:11" s="31" customFormat="1" ht="15.75">
      <c r="A22" s="35"/>
      <c r="B22" s="57" t="s">
        <v>93</v>
      </c>
      <c r="C22" s="64">
        <v>147</v>
      </c>
      <c r="D22" s="65">
        <v>2254</v>
      </c>
      <c r="E22" s="65">
        <v>57166</v>
      </c>
      <c r="F22" s="104">
        <v>149</v>
      </c>
      <c r="G22" s="105">
        <f>TH!F7</f>
        <v>2292</v>
      </c>
      <c r="H22" s="105">
        <f>TH!E7</f>
        <v>56905</v>
      </c>
      <c r="I22" s="77">
        <f aca="true" t="shared" si="2" ref="I22:J25">F22-C22</f>
        <v>2</v>
      </c>
      <c r="J22" s="78">
        <f t="shared" si="2"/>
        <v>38</v>
      </c>
      <c r="K22" s="79">
        <f>H22-E22</f>
        <v>-261</v>
      </c>
    </row>
    <row r="23" spans="1:11" s="31" customFormat="1" ht="15.75">
      <c r="A23" s="35"/>
      <c r="B23" s="57" t="s">
        <v>94</v>
      </c>
      <c r="C23" s="64">
        <v>63</v>
      </c>
      <c r="D23" s="65">
        <v>1109</v>
      </c>
      <c r="E23" s="65">
        <v>37085</v>
      </c>
      <c r="F23" s="104">
        <v>63</v>
      </c>
      <c r="G23" s="105">
        <f>THCS!F7</f>
        <v>1113</v>
      </c>
      <c r="H23" s="105">
        <f>THCS!E7</f>
        <v>36389</v>
      </c>
      <c r="I23" s="77">
        <f t="shared" si="2"/>
        <v>0</v>
      </c>
      <c r="J23" s="78">
        <f t="shared" si="2"/>
        <v>4</v>
      </c>
      <c r="K23" s="79">
        <f>H23-E23</f>
        <v>-696</v>
      </c>
    </row>
    <row r="24" spans="1:11" s="31" customFormat="1" ht="15.75">
      <c r="A24" s="35"/>
      <c r="B24" s="57" t="s">
        <v>95</v>
      </c>
      <c r="C24" s="64">
        <v>18</v>
      </c>
      <c r="D24" s="65">
        <v>468</v>
      </c>
      <c r="E24" s="65">
        <v>19119</v>
      </c>
      <c r="F24" s="104">
        <v>18</v>
      </c>
      <c r="G24" s="105">
        <f>THPT!E7</f>
        <v>463</v>
      </c>
      <c r="H24" s="105">
        <f>THPT!D7</f>
        <v>18483</v>
      </c>
      <c r="I24" s="77">
        <f t="shared" si="2"/>
        <v>0</v>
      </c>
      <c r="J24" s="78">
        <f t="shared" si="2"/>
        <v>-5</v>
      </c>
      <c r="K24" s="79">
        <f>H24-E24</f>
        <v>-636</v>
      </c>
    </row>
    <row r="25" spans="1:11" s="31" customFormat="1" ht="15.75">
      <c r="A25" s="61">
        <v>3</v>
      </c>
      <c r="B25" s="80" t="s">
        <v>101</v>
      </c>
      <c r="C25" s="62">
        <v>4</v>
      </c>
      <c r="D25" s="63">
        <v>46</v>
      </c>
      <c r="E25" s="63">
        <v>2572</v>
      </c>
      <c r="F25" s="42">
        <v>4</v>
      </c>
      <c r="G25" s="40">
        <f>'THPT GDTX'!D8</f>
        <v>44</v>
      </c>
      <c r="H25" s="40">
        <f>'THPT GDTX'!C8</f>
        <v>2182</v>
      </c>
      <c r="I25" s="59">
        <f t="shared" si="2"/>
        <v>0</v>
      </c>
      <c r="J25" s="81">
        <f t="shared" si="2"/>
        <v>-2</v>
      </c>
      <c r="K25" s="76">
        <f>H25-E25</f>
        <v>-390</v>
      </c>
    </row>
    <row r="26" spans="1:11" s="31" customFormat="1" ht="15.75">
      <c r="A26" s="67" t="s">
        <v>204</v>
      </c>
      <c r="B26" s="50"/>
      <c r="C26" s="50"/>
      <c r="D26" s="51"/>
      <c r="E26" s="51"/>
      <c r="F26" s="51"/>
      <c r="G26" s="52"/>
      <c r="H26" s="52"/>
      <c r="I26" s="52"/>
      <c r="J26" s="52"/>
      <c r="K26" s="53"/>
    </row>
    <row r="27" spans="1:11" s="26" customFormat="1" ht="36" customHeight="1">
      <c r="A27" s="55" t="s">
        <v>0</v>
      </c>
      <c r="B27" s="55" t="s">
        <v>98</v>
      </c>
      <c r="C27" s="55" t="s">
        <v>100</v>
      </c>
      <c r="D27" s="55" t="s">
        <v>102</v>
      </c>
      <c r="E27" s="55" t="s">
        <v>20</v>
      </c>
      <c r="F27" s="55" t="s">
        <v>108</v>
      </c>
      <c r="G27" s="55" t="s">
        <v>107</v>
      </c>
      <c r="H27" s="58" t="s">
        <v>103</v>
      </c>
      <c r="I27" s="58" t="s">
        <v>104</v>
      </c>
      <c r="J27" s="95" t="s">
        <v>109</v>
      </c>
      <c r="K27" s="58" t="s">
        <v>106</v>
      </c>
    </row>
    <row r="28" spans="1:11" s="31" customFormat="1" ht="15.75">
      <c r="A28" s="61">
        <v>1</v>
      </c>
      <c r="B28" s="60" t="s">
        <v>91</v>
      </c>
      <c r="C28" s="41">
        <f>SUM(C29:C30)</f>
        <v>20668</v>
      </c>
      <c r="D28" s="84">
        <f>SUM(D29:D30)</f>
        <v>1188</v>
      </c>
      <c r="E28" s="84">
        <f>SUM(E29:E30)</f>
        <v>824</v>
      </c>
      <c r="F28" s="84">
        <f>SUM(F29:F30)</f>
        <v>1090</v>
      </c>
      <c r="G28" s="84">
        <f>SUM(G29:G30)</f>
        <v>733</v>
      </c>
      <c r="H28" s="91">
        <f aca="true" t="shared" si="3" ref="H28:H35">D28/E28</f>
        <v>1.441747572815534</v>
      </c>
      <c r="I28" s="85">
        <f>SUM(I29:I30)</f>
        <v>46.750337977652094</v>
      </c>
      <c r="J28" s="93">
        <f>F28/D28</f>
        <v>0.9175084175084175</v>
      </c>
      <c r="K28" s="85">
        <f>SUM(K29:K30)</f>
        <v>2.235807207869817</v>
      </c>
    </row>
    <row r="29" spans="1:11" s="31" customFormat="1" ht="15.75">
      <c r="A29" s="61"/>
      <c r="B29" s="57" t="s">
        <v>105</v>
      </c>
      <c r="C29" s="86">
        <f>D5</f>
        <v>3387</v>
      </c>
      <c r="D29" s="75">
        <f>MG!G10</f>
        <v>231</v>
      </c>
      <c r="E29" s="35">
        <f>MG!E10</f>
        <v>165</v>
      </c>
      <c r="F29" s="64">
        <v>178</v>
      </c>
      <c r="G29" s="75">
        <f>MG!H10</f>
        <v>149</v>
      </c>
      <c r="H29" s="89">
        <f t="shared" si="3"/>
        <v>1.4</v>
      </c>
      <c r="I29" s="82">
        <f aca="true" t="shared" si="4" ref="I29:I35">C29/E29</f>
        <v>20.527272727272727</v>
      </c>
      <c r="J29" s="90">
        <f>F29/D29</f>
        <v>0.7705627705627706</v>
      </c>
      <c r="K29" s="83">
        <f>E29/G29</f>
        <v>1.1073825503355705</v>
      </c>
    </row>
    <row r="30" spans="1:11" s="31" customFormat="1" ht="15.75">
      <c r="A30" s="61"/>
      <c r="B30" s="57" t="s">
        <v>2</v>
      </c>
      <c r="C30" s="86">
        <f>D6</f>
        <v>17281</v>
      </c>
      <c r="D30" s="75">
        <f>MG!S10</f>
        <v>957</v>
      </c>
      <c r="E30" s="35">
        <f>MG!Q10</f>
        <v>659</v>
      </c>
      <c r="F30" s="64">
        <v>912</v>
      </c>
      <c r="G30" s="75">
        <f>MG!T10</f>
        <v>584</v>
      </c>
      <c r="H30" s="89">
        <f t="shared" si="3"/>
        <v>1.4522003034901365</v>
      </c>
      <c r="I30" s="82">
        <f t="shared" si="4"/>
        <v>26.223065250379364</v>
      </c>
      <c r="J30" s="90">
        <f aca="true" t="shared" si="5" ref="J30:J35">F30/D30</f>
        <v>0.9529780564263323</v>
      </c>
      <c r="K30" s="83">
        <f aca="true" t="shared" si="6" ref="K30:K35">E30/G30</f>
        <v>1.1284246575342465</v>
      </c>
    </row>
    <row r="31" spans="1:11" s="31" customFormat="1" ht="15.75">
      <c r="A31" s="61">
        <v>2</v>
      </c>
      <c r="B31" s="60" t="s">
        <v>92</v>
      </c>
      <c r="C31" s="41">
        <f>SUM(C32:C34)</f>
        <v>111777</v>
      </c>
      <c r="D31" s="84">
        <f>SUM(D32:D34)</f>
        <v>5904</v>
      </c>
      <c r="E31" s="84">
        <f>SUM(E32:E34)</f>
        <v>3868</v>
      </c>
      <c r="F31" s="84">
        <f>SUM(F32:F34)</f>
        <v>4060</v>
      </c>
      <c r="G31" s="84">
        <f>SUM(G32:G34)</f>
        <v>2806</v>
      </c>
      <c r="H31" s="91">
        <f t="shared" si="3"/>
        <v>1.5263702171664943</v>
      </c>
      <c r="I31" s="92">
        <f t="shared" si="4"/>
        <v>28.897880041365045</v>
      </c>
      <c r="J31" s="93">
        <f t="shared" si="5"/>
        <v>0.6876693766937669</v>
      </c>
      <c r="K31" s="85">
        <f t="shared" si="6"/>
        <v>1.3784746970776907</v>
      </c>
    </row>
    <row r="32" spans="1:11" s="31" customFormat="1" ht="15.75">
      <c r="A32" s="35"/>
      <c r="B32" s="57" t="s">
        <v>93</v>
      </c>
      <c r="C32" s="86">
        <f>D8</f>
        <v>56905</v>
      </c>
      <c r="D32" s="75">
        <f>TH!X7</f>
        <v>2834</v>
      </c>
      <c r="E32" s="75">
        <f>TH!F7</f>
        <v>2292</v>
      </c>
      <c r="F32" s="87">
        <f>TH!Y7</f>
        <v>2223</v>
      </c>
      <c r="G32" s="75">
        <f>TH!T7</f>
        <v>1723</v>
      </c>
      <c r="H32" s="89">
        <f t="shared" si="3"/>
        <v>1.236474694589878</v>
      </c>
      <c r="I32" s="82">
        <f t="shared" si="4"/>
        <v>24.827661431064573</v>
      </c>
      <c r="J32" s="90">
        <f t="shared" si="5"/>
        <v>0.7844036697247706</v>
      </c>
      <c r="K32" s="83">
        <f>E32/G32</f>
        <v>1.330237957051654</v>
      </c>
    </row>
    <row r="33" spans="1:11" s="31" customFormat="1" ht="15.75">
      <c r="A33" s="35"/>
      <c r="B33" s="57" t="s">
        <v>94</v>
      </c>
      <c r="C33" s="86">
        <f>D9</f>
        <v>36389</v>
      </c>
      <c r="D33" s="75">
        <f>THCS!V7</f>
        <v>2023</v>
      </c>
      <c r="E33" s="75">
        <f>THCS!F7</f>
        <v>1113</v>
      </c>
      <c r="F33" s="88">
        <f>THCS!W7</f>
        <v>1287</v>
      </c>
      <c r="G33" s="75">
        <f>THCS!R7</f>
        <v>728</v>
      </c>
      <c r="H33" s="89">
        <f t="shared" si="3"/>
        <v>1.8176100628930818</v>
      </c>
      <c r="I33" s="82">
        <f t="shared" si="4"/>
        <v>32.694519317160825</v>
      </c>
      <c r="J33" s="90">
        <f t="shared" si="5"/>
        <v>0.6361838853188334</v>
      </c>
      <c r="K33" s="83">
        <f t="shared" si="6"/>
        <v>1.5288461538461537</v>
      </c>
    </row>
    <row r="34" spans="1:11" s="31" customFormat="1" ht="15.75">
      <c r="A34" s="35"/>
      <c r="B34" s="57" t="s">
        <v>95</v>
      </c>
      <c r="C34" s="86">
        <f>D13</f>
        <v>18483</v>
      </c>
      <c r="D34" s="75">
        <f>THPT!U7</f>
        <v>1047</v>
      </c>
      <c r="E34" s="75">
        <f>THPT!E7</f>
        <v>463</v>
      </c>
      <c r="F34" s="88">
        <f>THPT!V7</f>
        <v>550</v>
      </c>
      <c r="G34" s="75">
        <f>THPT!Q7</f>
        <v>355</v>
      </c>
      <c r="H34" s="89">
        <f t="shared" si="3"/>
        <v>2.26133909287257</v>
      </c>
      <c r="I34" s="82">
        <f t="shared" si="4"/>
        <v>39.92008639308855</v>
      </c>
      <c r="J34" s="90">
        <f t="shared" si="5"/>
        <v>0.5253104106972302</v>
      </c>
      <c r="K34" s="83">
        <f>E34/G34</f>
        <v>1.304225352112676</v>
      </c>
    </row>
    <row r="35" spans="1:11" s="31" customFormat="1" ht="15.75">
      <c r="A35" s="61">
        <v>3</v>
      </c>
      <c r="B35" s="80" t="s">
        <v>101</v>
      </c>
      <c r="C35" s="41">
        <f>D16</f>
        <v>2182</v>
      </c>
      <c r="D35" s="84">
        <f>'THPT GDTX'!R8</f>
        <v>99</v>
      </c>
      <c r="E35" s="84">
        <f>'THPT GDTX'!D8</f>
        <v>44</v>
      </c>
      <c r="F35" s="62">
        <v>37</v>
      </c>
      <c r="G35" s="84">
        <f>'THPT GDTX'!N8</f>
        <v>77</v>
      </c>
      <c r="H35" s="94">
        <f t="shared" si="3"/>
        <v>2.25</v>
      </c>
      <c r="I35" s="92">
        <f t="shared" si="4"/>
        <v>49.59090909090909</v>
      </c>
      <c r="J35" s="93">
        <f t="shared" si="5"/>
        <v>0.37373737373737376</v>
      </c>
      <c r="K35" s="85">
        <f t="shared" si="6"/>
        <v>0.5714285714285714</v>
      </c>
    </row>
  </sheetData>
  <mergeCells count="6">
    <mergeCell ref="I18:K18"/>
    <mergeCell ref="F2:K16"/>
    <mergeCell ref="B18:B19"/>
    <mergeCell ref="A18:A19"/>
    <mergeCell ref="C18:E18"/>
    <mergeCell ref="F18:H18"/>
  </mergeCells>
  <printOptions horizontalCentered="1"/>
  <pageMargins left="0.2362204724409449" right="0.2362204724409449" top="0.03937007874015748" bottom="0.0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NHANHUY</dc:creator>
  <cp:keywords/>
  <dc:description/>
  <cp:lastModifiedBy>Smart</cp:lastModifiedBy>
  <cp:lastPrinted>2012-12-26T09:15:16Z</cp:lastPrinted>
  <dcterms:created xsi:type="dcterms:W3CDTF">2009-10-14T09:31:03Z</dcterms:created>
  <dcterms:modified xsi:type="dcterms:W3CDTF">2014-10-19T03:00:25Z</dcterms:modified>
  <cp:category/>
  <cp:version/>
  <cp:contentType/>
  <cp:contentStatus/>
</cp:coreProperties>
</file>